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4940" windowHeight="9150" activeTab="1"/>
  </bookViews>
  <sheets>
    <sheet name="на 01.10.2018г." sheetId="1" r:id="rId1"/>
    <sheet name="реестр 2019-2021гг. " sheetId="4" r:id="rId2"/>
  </sheets>
  <definedNames>
    <definedName name="LAST_CELL" localSheetId="0">'на 01.10.2018г.'!$J$356</definedName>
    <definedName name="LAST_CELL" localSheetId="1">'реестр 2019-2021гг. '!#REF!</definedName>
    <definedName name="_xlnm.Print_Titles" localSheetId="1">'реестр 2019-2021гг. '!$2:$3</definedName>
    <definedName name="_xlnm.Print_Area" localSheetId="1">'реестр 2019-2021гг. '!$A$1:$K$245</definedName>
  </definedNames>
  <calcPr calcId="145621"/>
</workbook>
</file>

<file path=xl/calcChain.xml><?xml version="1.0" encoding="utf-8"?>
<calcChain xmlns="http://schemas.openxmlformats.org/spreadsheetml/2006/main">
  <c r="I227" i="4" l="1"/>
  <c r="I150" i="4"/>
  <c r="I154" i="4"/>
  <c r="H224" i="4"/>
  <c r="I224" i="4"/>
  <c r="J224" i="4"/>
  <c r="K224" i="4"/>
  <c r="G224" i="4"/>
  <c r="H222" i="4"/>
  <c r="I222" i="4"/>
  <c r="J222" i="4"/>
  <c r="K222" i="4"/>
  <c r="G222" i="4"/>
  <c r="H217" i="4"/>
  <c r="I217" i="4"/>
  <c r="J217" i="4"/>
  <c r="K217" i="4"/>
  <c r="G217" i="4"/>
  <c r="I210" i="4"/>
  <c r="J210" i="4"/>
  <c r="K210" i="4"/>
  <c r="H210" i="4"/>
  <c r="G204" i="4"/>
  <c r="I204" i="4"/>
  <c r="J204" i="4"/>
  <c r="K204" i="4"/>
  <c r="H204" i="4"/>
  <c r="G201" i="4"/>
  <c r="H201" i="4"/>
  <c r="J201" i="4"/>
  <c r="K201" i="4"/>
  <c r="I201" i="4"/>
  <c r="H199" i="4"/>
  <c r="I199" i="4"/>
  <c r="J199" i="4"/>
  <c r="K199" i="4"/>
  <c r="G199" i="4"/>
  <c r="I195" i="4"/>
  <c r="J195" i="4"/>
  <c r="K195" i="4"/>
  <c r="H195" i="4"/>
  <c r="I171" i="4"/>
  <c r="J171" i="4"/>
  <c r="K171" i="4"/>
  <c r="H171" i="4"/>
  <c r="I177" i="4"/>
  <c r="H158" i="4"/>
  <c r="H150" i="4" l="1"/>
  <c r="J150" i="4"/>
  <c r="K150" i="4"/>
  <c r="G150" i="4"/>
  <c r="F151" i="4"/>
  <c r="G143" i="4"/>
  <c r="I143" i="4"/>
  <c r="J143" i="4"/>
  <c r="K143" i="4"/>
  <c r="H143" i="4"/>
  <c r="H59" i="4"/>
  <c r="I59" i="4"/>
  <c r="J59" i="4"/>
  <c r="K59" i="4"/>
  <c r="G59" i="4"/>
  <c r="H64" i="4"/>
  <c r="I64" i="4"/>
  <c r="J64" i="4"/>
  <c r="K64" i="4"/>
  <c r="G64" i="4"/>
  <c r="H72" i="4"/>
  <c r="I72" i="4"/>
  <c r="J72" i="4"/>
  <c r="K72" i="4"/>
  <c r="G72" i="4"/>
  <c r="H75" i="4"/>
  <c r="I75" i="4"/>
  <c r="J75" i="4"/>
  <c r="K75" i="4"/>
  <c r="G75" i="4"/>
  <c r="H82" i="4"/>
  <c r="I82" i="4"/>
  <c r="J82" i="4"/>
  <c r="K82" i="4"/>
  <c r="G82" i="4"/>
  <c r="H85" i="4"/>
  <c r="I85" i="4"/>
  <c r="J85" i="4"/>
  <c r="K85" i="4"/>
  <c r="G85" i="4"/>
  <c r="H91" i="4"/>
  <c r="I91" i="4"/>
  <c r="J91" i="4"/>
  <c r="K91" i="4"/>
  <c r="G91" i="4"/>
  <c r="H94" i="4"/>
  <c r="I94" i="4"/>
  <c r="J94" i="4"/>
  <c r="K94" i="4"/>
  <c r="G94" i="4"/>
  <c r="H98" i="4"/>
  <c r="I98" i="4"/>
  <c r="J98" i="4"/>
  <c r="K98" i="4"/>
  <c r="G98" i="4"/>
  <c r="H100" i="4"/>
  <c r="I100" i="4"/>
  <c r="J100" i="4"/>
  <c r="K100" i="4"/>
  <c r="G100" i="4"/>
  <c r="H102" i="4"/>
  <c r="I102" i="4"/>
  <c r="J102" i="4"/>
  <c r="K102" i="4"/>
  <c r="G102" i="4"/>
  <c r="H117" i="4"/>
  <c r="I117" i="4"/>
  <c r="J117" i="4"/>
  <c r="K117" i="4"/>
  <c r="G117" i="4"/>
  <c r="H120" i="4"/>
  <c r="I120" i="4"/>
  <c r="J120" i="4"/>
  <c r="K120" i="4"/>
  <c r="G120" i="4"/>
  <c r="H126" i="4"/>
  <c r="I126" i="4"/>
  <c r="J126" i="4"/>
  <c r="K126" i="4"/>
  <c r="G126" i="4"/>
  <c r="H129" i="4"/>
  <c r="I129" i="4"/>
  <c r="J129" i="4"/>
  <c r="K129" i="4"/>
  <c r="G129" i="4"/>
  <c r="H131" i="4"/>
  <c r="I131" i="4"/>
  <c r="J131" i="4"/>
  <c r="K131" i="4"/>
  <c r="G131" i="4"/>
  <c r="H134" i="4"/>
  <c r="I134" i="4"/>
  <c r="J134" i="4"/>
  <c r="K134" i="4"/>
  <c r="G134" i="4"/>
  <c r="H140" i="4"/>
  <c r="I140" i="4"/>
  <c r="J140" i="4"/>
  <c r="K140" i="4"/>
  <c r="H137" i="4"/>
  <c r="I137" i="4"/>
  <c r="J137" i="4"/>
  <c r="K137" i="4"/>
  <c r="G140" i="4"/>
  <c r="G137" i="4"/>
  <c r="H168" i="4"/>
  <c r="I168" i="4"/>
  <c r="J168" i="4"/>
  <c r="K168" i="4"/>
  <c r="G168" i="4"/>
  <c r="I164" i="4"/>
  <c r="J164" i="4"/>
  <c r="K164" i="4"/>
  <c r="H161" i="4"/>
  <c r="I161" i="4"/>
  <c r="J161" i="4"/>
  <c r="K161" i="4"/>
  <c r="G161" i="4"/>
  <c r="I158" i="4"/>
  <c r="J158" i="4"/>
  <c r="K158" i="4"/>
  <c r="G158" i="4"/>
  <c r="H154" i="4"/>
  <c r="G147" i="4"/>
  <c r="I147" i="4"/>
  <c r="J147" i="4"/>
  <c r="K147" i="4"/>
  <c r="H147" i="4"/>
  <c r="G243" i="4"/>
  <c r="F141" i="4"/>
  <c r="I122" i="4"/>
  <c r="J122" i="4"/>
  <c r="K122" i="4"/>
  <c r="I77" i="4"/>
  <c r="L74" i="4"/>
  <c r="L75" i="4" l="1"/>
  <c r="G247" i="4"/>
  <c r="H237" i="4"/>
  <c r="H227" i="4"/>
  <c r="I219" i="4"/>
  <c r="H219" i="4"/>
  <c r="M217" i="4" s="1"/>
  <c r="L210" i="4" l="1"/>
  <c r="J177" i="4"/>
  <c r="K177" i="4"/>
  <c r="H177" i="4"/>
  <c r="H164" i="4"/>
  <c r="H122" i="4"/>
  <c r="H109" i="4"/>
  <c r="I105" i="4"/>
  <c r="I243" i="4" s="1"/>
  <c r="H105" i="4"/>
  <c r="I180" i="1"/>
  <c r="I184" i="1"/>
  <c r="N94" i="4"/>
  <c r="L94" i="4"/>
  <c r="L95" i="4" s="1"/>
  <c r="M95" i="4" s="1"/>
  <c r="H77" i="4"/>
  <c r="H41" i="4"/>
  <c r="H243" i="4" s="1"/>
  <c r="M7" i="4"/>
  <c r="M8" i="4" s="1"/>
  <c r="L8" i="4" s="1"/>
  <c r="L177" i="4" l="1"/>
  <c r="N177" i="4" s="1"/>
  <c r="L98" i="4"/>
  <c r="M98" i="4" s="1"/>
  <c r="M9" i="4"/>
  <c r="L9" i="4" s="1"/>
  <c r="M11" i="4"/>
  <c r="L11" i="4" s="1"/>
  <c r="L102" i="4"/>
  <c r="M102" i="4" s="1"/>
  <c r="M10" i="4"/>
  <c r="L10" i="4" s="1"/>
  <c r="L100" i="4"/>
  <c r="M100" i="4" s="1"/>
  <c r="L6" i="4" l="1"/>
  <c r="F196" i="4"/>
  <c r="F179" i="4"/>
  <c r="F180" i="4"/>
  <c r="G107" i="4" l="1"/>
  <c r="F103" i="4"/>
  <c r="F102" i="4"/>
  <c r="I203" i="1"/>
  <c r="I16" i="1" l="1"/>
  <c r="K381" i="1"/>
  <c r="I326" i="1"/>
  <c r="H326" i="1"/>
  <c r="K316" i="1"/>
  <c r="I308" i="1"/>
  <c r="I206" i="1"/>
  <c r="G184" i="1"/>
  <c r="I140" i="1"/>
  <c r="I57" i="1"/>
  <c r="H10" i="1"/>
  <c r="G10" i="1"/>
  <c r="F243" i="4" l="1"/>
  <c r="H247" i="4" l="1"/>
  <c r="F236" i="4"/>
  <c r="F235" i="4"/>
  <c r="F234" i="4"/>
  <c r="K227" i="4"/>
  <c r="J227" i="4"/>
  <c r="F226" i="4"/>
  <c r="K219" i="4"/>
  <c r="J219" i="4"/>
  <c r="F216" i="4"/>
  <c r="F203" i="4"/>
  <c r="F198" i="4"/>
  <c r="F197" i="4"/>
  <c r="F195" i="4"/>
  <c r="F188" i="4"/>
  <c r="F187" i="4"/>
  <c r="F186" i="4"/>
  <c r="F185" i="4"/>
  <c r="F184" i="4"/>
  <c r="F183" i="4"/>
  <c r="F181" i="4"/>
  <c r="F178" i="4"/>
  <c r="F177" i="4"/>
  <c r="F175" i="4"/>
  <c r="F171" i="4"/>
  <c r="F169" i="4"/>
  <c r="F168" i="4"/>
  <c r="F166" i="4"/>
  <c r="F165" i="4"/>
  <c r="F164" i="4"/>
  <c r="F162" i="4"/>
  <c r="F161" i="4"/>
  <c r="F159" i="4"/>
  <c r="F158" i="4"/>
  <c r="F156" i="4"/>
  <c r="F155" i="4"/>
  <c r="K154" i="4"/>
  <c r="J154" i="4"/>
  <c r="F154" i="4"/>
  <c r="F152" i="4"/>
  <c r="F150" i="4"/>
  <c r="F148" i="4"/>
  <c r="F147" i="4"/>
  <c r="F144" i="4"/>
  <c r="F143" i="4"/>
  <c r="F138" i="4"/>
  <c r="F137" i="4"/>
  <c r="F135" i="4"/>
  <c r="F134" i="4"/>
  <c r="F132" i="4"/>
  <c r="F131" i="4"/>
  <c r="F130" i="4"/>
  <c r="F129" i="4"/>
  <c r="F124" i="4"/>
  <c r="F123" i="4"/>
  <c r="F122" i="4"/>
  <c r="F112" i="4"/>
  <c r="F111" i="4"/>
  <c r="F109" i="4"/>
  <c r="F107" i="4"/>
  <c r="F106" i="4"/>
  <c r="K105" i="4"/>
  <c r="J105" i="4"/>
  <c r="F105" i="4"/>
  <c r="F101" i="4"/>
  <c r="F100" i="4"/>
  <c r="F99" i="4"/>
  <c r="F98" i="4"/>
  <c r="F97" i="4"/>
  <c r="F96" i="4"/>
  <c r="F95" i="4"/>
  <c r="F94" i="4"/>
  <c r="F92" i="4"/>
  <c r="F91" i="4"/>
  <c r="F86" i="4"/>
  <c r="F85" i="4"/>
  <c r="F80" i="4"/>
  <c r="F79" i="4"/>
  <c r="F78" i="4"/>
  <c r="K77" i="4"/>
  <c r="J77" i="4"/>
  <c r="J243" i="4" s="1"/>
  <c r="F77" i="4"/>
  <c r="F73" i="4"/>
  <c r="F72" i="4"/>
  <c r="F70" i="4"/>
  <c r="F69" i="4"/>
  <c r="F67" i="4"/>
  <c r="F65" i="4"/>
  <c r="F64" i="4"/>
  <c r="F63" i="4"/>
  <c r="F62" i="4"/>
  <c r="F60" i="4"/>
  <c r="F59" i="4"/>
  <c r="K243" i="4" l="1"/>
  <c r="K247" i="4"/>
  <c r="I247" i="4"/>
  <c r="J247" i="4"/>
  <c r="F246" i="4"/>
  <c r="F247" i="4" s="1"/>
</calcChain>
</file>

<file path=xl/sharedStrings.xml><?xml version="1.0" encoding="utf-8"?>
<sst xmlns="http://schemas.openxmlformats.org/spreadsheetml/2006/main" count="1880" uniqueCount="878">
  <si>
    <t>(наименование органа, исполняющего бюджет)</t>
  </si>
  <si>
    <t>АНАЛИЗ ДОХОДОВ БЮДЖЕТА</t>
  </si>
  <si>
    <t>Финансовое управление администрации Тайшетского района</t>
  </si>
  <si>
    <t>Дата печати:</t>
  </si>
  <si>
    <t>КВФО (доходы):</t>
  </si>
  <si>
    <t>Деятельность, осуществляемая за счет средств соответствующего бюджета бюджетной системы Российской Федерации (бюджетная деятельность)</t>
  </si>
  <si>
    <t>Наименование</t>
  </si>
  <si>
    <t>КД</t>
  </si>
  <si>
    <t>Доп.КД</t>
  </si>
  <si>
    <t>КВФО</t>
  </si>
  <si>
    <t>Утвержденный план на год</t>
  </si>
  <si>
    <t>Уточненный план на год</t>
  </si>
  <si>
    <t>% поступлений к утвержденному плану</t>
  </si>
  <si>
    <t>на год</t>
  </si>
  <si>
    <t>% поступлений к уточненному плану</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</si>
  <si>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</si>
  <si>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</si>
  <si>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</si>
  <si>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</si>
  <si>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</si>
  <si>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</si>
  <si>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00010102010010000110</t>
  </si>
  <si>
    <t>18210102010010000110</t>
  </si>
  <si>
    <t>0000</t>
  </si>
  <si>
    <t>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</si>
  <si>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</si>
  <si>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</si>
  <si>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18210102010011000110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</si>
  <si>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</si>
  <si>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</si>
  <si>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18210102010012100110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</si>
  <si>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</si>
  <si>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00010102010013000110</t>
  </si>
  <si>
    <t>18210102010013000110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</si>
  <si>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</si>
  <si>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00010102010014000110</t>
  </si>
  <si>
    <t>18210102010014000110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</si>
  <si>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</si>
  <si>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</si>
  <si>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18210102020010000110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</si>
  <si>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</si>
  <si>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</si>
  <si>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18210102020011000110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</si>
  <si>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</si>
  <si>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00010102020012100110</t>
  </si>
  <si>
    <t>18210102020012100110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</si>
  <si>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</si>
  <si>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</si>
  <si>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18210102020013000110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</si>
  <si>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</si>
  <si>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</si>
  <si>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</si>
  <si>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18210102030010000110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</si>
  <si>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</si>
  <si>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</si>
  <si>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18210102030011000110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</si>
  <si>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</si>
  <si>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</si>
  <si>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18210102030012100110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</si>
  <si>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</si>
  <si>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</si>
  <si>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18210102030013000110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</si>
  <si>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</si>
  <si>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00010102030014000110</t>
  </si>
  <si>
    <t>18210102030014000110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</si>
  <si>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</si>
  <si>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</si>
  <si>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18210102040010000110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</si>
  <si>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</si>
  <si>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</si>
  <si>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18210102040011000110</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</si>
  <si>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</si>
  <si>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</si>
  <si>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</si>
  <si>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</si>
  <si>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</si>
  <si>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</si>
  <si>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</si>
  <si>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18210502010021000110</t>
  </si>
  <si>
    <t>Единый налог на вмененный доход для отдельных видов деятельности (пени по соответствующему платежу)</t>
  </si>
  <si>
    <t>00010502010022100110</t>
  </si>
  <si>
    <t>18210502010022100110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</si>
  <si>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</si>
  <si>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</si>
  <si>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18210502010023000110</t>
  </si>
  <si>
    <t>Единый налог на вмененный доход для отдельных видов деятельности (прочие поступления)</t>
  </si>
  <si>
    <t>00010502010024000110</t>
  </si>
  <si>
    <t>18210502010024000110</t>
  </si>
  <si>
    <t>Единый налог на вмененный доход для отдельных видов деятельности (за налоговые периоды, истекшие до 1 января 2011 года)</t>
  </si>
  <si>
    <t>00010502020020000110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</si>
  <si>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</si>
  <si>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</si>
  <si>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18210502020021000110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</si>
  <si>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</si>
  <si>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</si>
  <si>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18210502020022100110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</si>
  <si>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</si>
  <si>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t>
  </si>
  <si>
    <t>00010503000010000110</t>
  </si>
  <si>
    <t>00010503010010000110</t>
  </si>
  <si>
    <t>18210503010010000110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</si>
  <si>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</si>
  <si>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</si>
  <si>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18210503010011000110</t>
  </si>
  <si>
    <t>Единый сельскохозяйственный налог (пени по соответствующему платежу)</t>
  </si>
  <si>
    <t>00010503010012100110</t>
  </si>
  <si>
    <t>18210503010012100110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</si>
  <si>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</si>
  <si>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00010503010013000110</t>
  </si>
  <si>
    <t>18210503010013000110</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</si>
  <si>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</si>
  <si>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</si>
  <si>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</si>
  <si>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</si>
  <si>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</si>
  <si>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</si>
  <si>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</si>
  <si>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</si>
  <si>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18210504020021000110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</si>
  <si>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</si>
  <si>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</si>
  <si>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</si>
  <si>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</si>
  <si>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</si>
  <si>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</si>
  <si>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</si>
  <si>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18210803010010000110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</si>
  <si>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</si>
  <si>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</si>
  <si>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18210803010011000110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</si>
  <si>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</si>
  <si>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</si>
  <si>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</si>
  <si>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</si>
  <si>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t>
  </si>
  <si>
    <t>00010807150010000110</t>
  </si>
  <si>
    <t>90910807150010000110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</si>
  <si>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</si>
  <si>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</si>
  <si>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</si>
  <si>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 мобилизуемый на территориях муниципальных районов</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</si>
  <si>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</si>
  <si>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Налог на имущество предприятий</t>
  </si>
  <si>
    <t>Налог на имущество предприятий (пени по соответствующему платежу)</t>
  </si>
  <si>
    <t>ДОХОДЫ ОТ ИСПОЛЬЗОВАНИЯ ИМУЩЕСТВА, НАХОДЯЩЕГОСЯ В ГОСУДАРСТВЕННОЙ И МУНИЦИПАЛЬНОЙ СОБСТВЕННОСТИ</t>
  </si>
  <si>
    <t>00011100000000000000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</si>
  <si>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</si>
  <si>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</si>
  <si>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муниципальных районов</t>
  </si>
  <si>
    <t>00011103050050000120</t>
  </si>
  <si>
    <t>90811103050050000120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</si>
  <si>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</si>
  <si>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</si>
  <si>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</si>
  <si>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</si>
  <si>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</si>
  <si>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</si>
  <si>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90911105013130000120</t>
  </si>
  <si>
    <t>95011105013130000120</t>
  </si>
  <si>
    <t>95111105013130000120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</si>
  <si>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</si>
  <si>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</si>
  <si>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</si>
  <si>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</si>
  <si>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90911105035050000120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</si>
  <si>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</si>
  <si>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</si>
  <si>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</si>
  <si>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</si>
  <si>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</si>
  <si>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</si>
  <si>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90911109045050000120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</si>
  <si>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</si>
  <si>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</si>
  <si>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</si>
  <si>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</si>
  <si>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</si>
  <si>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</si>
  <si>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04811201010010000120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</si>
  <si>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</si>
  <si>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00011201010016000120</t>
  </si>
  <si>
    <t>04811201010016000120</t>
  </si>
  <si>
    <t>Плата за выбросы загрязняющих веществ в атмосферный воздух передвижными объектами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</si>
  <si>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</si>
  <si>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t>
  </si>
  <si>
    <t>00011201030010000120</t>
  </si>
  <si>
    <t>04811201030010000120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</si>
  <si>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</si>
  <si>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00011201030016000120</t>
  </si>
  <si>
    <t>04811201030016000120</t>
  </si>
  <si>
    <t>Плата за размещение отходов производства и потребления</t>
  </si>
  <si>
    <t>00011201040010000120</t>
  </si>
  <si>
    <t>04811201040010000120</t>
  </si>
  <si>
    <t>ДОХОДЫ ОТ ОКАЗАНИЯ ПЛАТНЫХ УСЛУГ (РАБОТ)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</si>
  <si>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</si>
  <si>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</si>
  <si>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</si>
  <si>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</si>
  <si>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</si>
  <si>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муниципальных районов</t>
  </si>
  <si>
    <t>00011301995050000130</t>
  </si>
  <si>
    <t>90211301995050000130</t>
  </si>
  <si>
    <t>Прочие доходы от оказания платных услуг (работ) получателями средств бюджетов муниципальных районов (родительская плата за содержание ребенка в образовательных учреждениях)</t>
  </si>
  <si>
    <t>00011301995050001130</t>
  </si>
  <si>
    <t>90311301995050001130</t>
  </si>
  <si>
    <t>Прочие доходы от оказания платных услуг (работ) получателями средств бюджетов муниципальных районов (родительская плата за оказание услуг по организации и обеспечению летнего отдыха и оздоровление детей в образовательных учреждениях)</t>
  </si>
  <si>
    <t>00011301995050005130</t>
  </si>
  <si>
    <t>90311301995050005130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</si>
  <si>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</si>
  <si>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</si>
  <si>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</si>
  <si>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</si>
  <si>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</si>
  <si>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</si>
  <si>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муниципальных районов (возврат деби-торской задолженности прошлых лет)</t>
  </si>
  <si>
    <t>00011302995050004130</t>
  </si>
  <si>
    <t>90311302995050004130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</si>
  <si>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</si>
  <si>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</si>
  <si>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</si>
  <si>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</si>
  <si>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</si>
  <si>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</si>
  <si>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</si>
  <si>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</si>
  <si>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95011406013130000430</t>
  </si>
  <si>
    <t>95111406013130000430</t>
  </si>
  <si>
    <t>ШТРАФЫ, САНКЦИИ, ВОЗМЕЩЕНИЕ УЩЕРБА</t>
  </si>
  <si>
    <t>00011600000000000000</t>
  </si>
  <si>
    <t>Денежные взыскания (штрафы) за нарушение законодательства о налогах и сборах</t>
  </si>
  <si>
    <t>00011603000000000140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</si>
  <si>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</si>
  <si>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00011603010010000140</t>
  </si>
  <si>
    <t>18211603010010000140</t>
  </si>
  <si>
    <t>00011603010016000140</t>
  </si>
  <si>
    <t>18211603010016000140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</si>
  <si>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</si>
  <si>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</si>
  <si>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18211603030010000140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</si>
  <si>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</si>
  <si>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</si>
  <si>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18211603030016000140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</si>
  <si>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</si>
  <si>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</si>
  <si>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18211606000010000140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</si>
  <si>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</si>
  <si>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00011606000016000140</t>
  </si>
  <si>
    <t>18211606000016000140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</si>
  <si>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</si>
  <si>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</si>
  <si>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</si>
  <si>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00011608010010000140</t>
  </si>
  <si>
    <t>18811608010010000140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</si>
  <si>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</si>
  <si>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</si>
  <si>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</si>
  <si>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</si>
  <si>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</si>
  <si>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</si>
  <si>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</si>
  <si>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</si>
  <si>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</si>
  <si>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</si>
  <si>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</si>
  <si>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Денежные взыскания (штрафы) за нарушение законодательства Российской Федерации об охране и использовании животного мира</t>
  </si>
  <si>
    <t>00011625030010000140</t>
  </si>
  <si>
    <t>07611625030010000140</t>
  </si>
  <si>
    <t>Денежные взыскания (штрафы) за нарушение законодательства в области охраны окружающей среды</t>
  </si>
  <si>
    <t>00011625050010000140</t>
  </si>
  <si>
    <t>14111625050010000140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</si>
  <si>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</si>
  <si>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00011625050016000140</t>
  </si>
  <si>
    <t>14111625050016000140</t>
  </si>
  <si>
    <t>Денежные взыскания (штрафы) за нарушение земельного законодательства</t>
  </si>
  <si>
    <t>00011625060010000140</t>
  </si>
  <si>
    <t>32111625060010000140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</si>
  <si>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</si>
  <si>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</si>
  <si>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32111625060016000140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</si>
  <si>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</si>
  <si>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</si>
  <si>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14111628000010000140</t>
  </si>
  <si>
    <t>18811628000010000140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</si>
  <si>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</si>
  <si>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</si>
  <si>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14111628000016000140</t>
  </si>
  <si>
    <t>18811628000016000140</t>
  </si>
  <si>
    <t>Денежные взыскания (штрафы) за правонарушения в области дорожного движения</t>
  </si>
  <si>
    <t>00011630000010000140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</si>
  <si>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</si>
  <si>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</si>
  <si>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</si>
  <si>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</si>
  <si>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18811630014010000140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</si>
  <si>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</si>
  <si>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00011630014016000140</t>
  </si>
  <si>
    <t>18811630014016000140</t>
  </si>
  <si>
    <t>Прочие денежные взыскания (штрафы) за правонарушения в области дорожного движения</t>
  </si>
  <si>
    <t>00011630030010000140</t>
  </si>
  <si>
    <t>18811630030010000140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</si>
  <si>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</si>
  <si>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00011630030016000140</t>
  </si>
  <si>
    <t>18811630030016000140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</si>
  <si>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</si>
  <si>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</si>
  <si>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</si>
  <si>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</si>
  <si>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83211633050050000140</t>
  </si>
  <si>
    <t>Суммы по искам о возмещении вреда, причиненного окружающей среде</t>
  </si>
  <si>
    <t>00011635000000000140</t>
  </si>
  <si>
    <t>Суммы по искам о возмещении вреда, причиненного окружающей среде, подлежащие зачислению в бюджеты муниципальных районов</t>
  </si>
  <si>
    <t>00011635030050000140</t>
  </si>
  <si>
    <t>07611635030050000140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</si>
  <si>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</si>
  <si>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00011635030056000140</t>
  </si>
  <si>
    <t>07611635030056000140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</si>
  <si>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</si>
  <si>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</si>
  <si>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</si>
  <si>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</si>
  <si>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18811643000016000140</t>
  </si>
  <si>
    <t>Прочие поступления от денежных взысканий (штрафов) и иных сумм в возмещение ущерба</t>
  </si>
  <si>
    <t>00011690000000000140</t>
  </si>
  <si>
    <t>Прочие поступления от денежных взысканий (штрафов) и иных сумм в возмещение ущерба, зачисляемые в бюджеты муниципальных районов</t>
  </si>
  <si>
    <t>00011690050050000140</t>
  </si>
  <si>
    <t>07611690050050000140</t>
  </si>
  <si>
    <t>17711690050050000140</t>
  </si>
  <si>
    <t>18811690050050000140</t>
  </si>
  <si>
    <t>41511690050050000140</t>
  </si>
  <si>
    <t>80911690050050000140</t>
  </si>
  <si>
    <t>81511690050050000140</t>
  </si>
  <si>
    <t>84011690050050000140</t>
  </si>
  <si>
    <t>90511690050050000140</t>
  </si>
  <si>
    <t>91111690050050000140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</si>
  <si>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</si>
  <si>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00011690050056000140</t>
  </si>
  <si>
    <t>07611690050056000140</t>
  </si>
  <si>
    <t>14111690050056000140</t>
  </si>
  <si>
    <t>18811690050056000140</t>
  </si>
  <si>
    <t>41511690050056000140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</si>
  <si>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</si>
  <si>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00011690050057000140</t>
  </si>
  <si>
    <t>17711690050057000140</t>
  </si>
  <si>
    <t>ПРОЧИЕ НЕНАЛОГОВЫЕ ДОХОДЫ</t>
  </si>
  <si>
    <t>00011700000000000000</t>
  </si>
  <si>
    <t>Прочие неналоговые доходы</t>
  </si>
  <si>
    <t>00011705000000000180</t>
  </si>
  <si>
    <t>Прочие неналоговые доходы бюджетов муниципальных районов</t>
  </si>
  <si>
    <t>00011705050050000180</t>
  </si>
  <si>
    <t>90911705050050000180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</si>
  <si>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</si>
  <si>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</si>
  <si>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</si>
  <si>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</si>
  <si>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</si>
  <si>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</si>
  <si>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</si>
  <si>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</si>
  <si>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</si>
  <si>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Прочие субсидии</t>
  </si>
  <si>
    <t>Прочие субсидии бюджетам муниципальных районов</t>
  </si>
  <si>
    <t>2102</t>
  </si>
  <si>
    <t>2104</t>
  </si>
  <si>
    <t>2103</t>
  </si>
  <si>
    <t>Субвенции бюджетам бюджетной системы Российской Федерации</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</si>
  <si>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</si>
  <si>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</si>
  <si>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</si>
  <si>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</si>
  <si>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2201</t>
  </si>
  <si>
    <t>2202</t>
  </si>
  <si>
    <t>2203</t>
  </si>
  <si>
    <t>2204</t>
  </si>
  <si>
    <t>2205</t>
  </si>
  <si>
    <t>2206</t>
  </si>
  <si>
    <t>2207</t>
  </si>
  <si>
    <t>2208</t>
  </si>
  <si>
    <t>Прочие субвенции</t>
  </si>
  <si>
    <t>Прочие субвенции бюджетам муниципальных районов</t>
  </si>
  <si>
    <t>2209</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</si>
  <si>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</si>
  <si>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</si>
  <si>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</si>
  <si>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2303</t>
  </si>
  <si>
    <t>2304</t>
  </si>
  <si>
    <t>ПРОЧИЕ БЕЗВОЗМЕЗДНЫЕ ПОСТУПЛЕНИЯ</t>
  </si>
  <si>
    <t>00020700000000000000</t>
  </si>
  <si>
    <t>Прочие безвозмездные поступления в бюджеты муниципальных районов</t>
  </si>
  <si>
    <t>00020705000050000180</t>
  </si>
  <si>
    <t>Поступления от денежных пожертвований, предоставляемых физическими лицами получателям средств бюджетов муниципальных районов</t>
  </si>
  <si>
    <t>00020705020050000180</t>
  </si>
  <si>
    <t>90320705020050000180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</si>
  <si>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</si>
  <si>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</si>
  <si>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</si>
  <si>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</si>
  <si>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Наименование кода поступлений в бюджет, группы, подгруппы, статьи, подстатьи, элемента, группы, подвида, аналитической группы подвида доходов</t>
  </si>
  <si>
    <t>наименование</t>
  </si>
  <si>
    <t>Наименование главного администратора доходов МО "Тайшетский район"</t>
  </si>
  <si>
    <t>Классификация доходов бюджетов</t>
  </si>
  <si>
    <t>код</t>
  </si>
  <si>
    <t>Прогноз доходов бюджета</t>
  </si>
  <si>
    <t>тыс.руб.</t>
  </si>
  <si>
    <t>34,25 ¹                                   31,25 ²</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</si>
  <si>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</si>
  <si>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Управление Федеральной налоговой службы по Иркутской области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</si>
  <si>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</si>
  <si>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</si>
  <si>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</si>
  <si>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</si>
  <si>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</si>
  <si>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</si>
  <si>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</si>
  <si>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</si>
  <si>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10010302240010000110</t>
  </si>
  <si>
    <t>10010302250010000110</t>
  </si>
  <si>
    <t>10010302260010000110</t>
  </si>
  <si>
    <t>Управление Федерального казначейства по Иркутской области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</si>
  <si>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</si>
  <si>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</si>
  <si>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</si>
  <si>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</si>
  <si>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</si>
  <si>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</si>
  <si>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</si>
  <si>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</si>
  <si>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</si>
  <si>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</si>
  <si>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</si>
  <si>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</si>
  <si>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</si>
  <si>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</si>
  <si>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</si>
  <si>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</si>
  <si>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</si>
  <si>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</si>
  <si>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</si>
  <si>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</si>
  <si>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</si>
  <si>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</si>
  <si>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(пени по соответствующему платежу)</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</si>
  <si>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</si>
  <si>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100</t>
  </si>
  <si>
    <t>50</t>
  </si>
  <si>
    <t>18210504020020000110</t>
  </si>
  <si>
    <t>Управление образования администрации Тайшетского района</t>
  </si>
  <si>
    <t>Муниципальное учреждение "Департамент по управлению муниципальным имуществом администрации Тайшетского района"</t>
  </si>
  <si>
    <t>Уполномоченный орган местного самоуправления городского поселения</t>
  </si>
  <si>
    <t>Управление Росприроднадзора по Иркутской области</t>
  </si>
  <si>
    <t>Муниципальное учреждение Администрация Тайшетского района</t>
  </si>
  <si>
    <t xml:space="preserve">Прочие доходы от оказания платных услуг (работ) получателями средств бюджетов муниципальных районов </t>
  </si>
  <si>
    <t xml:space="preserve">Прочие доходы от компенсации затрат бюдже-тов муниципальных районов </t>
  </si>
  <si>
    <t>55</t>
  </si>
  <si>
    <t>14111608010010000140</t>
  </si>
  <si>
    <t>14111690050050000140</t>
  </si>
  <si>
    <t>Главное управление Министерства внутренних дел Российской Федерации по Иркутской области</t>
  </si>
  <si>
    <t>Контрольно-счетная палата Тайшетского района</t>
  </si>
  <si>
    <t>Служба государственного финансового контроля Иркутской области</t>
  </si>
  <si>
    <t>Генеральная прокуратура Российской Федерации</t>
  </si>
  <si>
    <t xml:space="preserve">Служба ветеринарии Иркутской области </t>
  </si>
  <si>
    <t xml:space="preserve">Главное управление МЧС России по Иркутской области </t>
  </si>
  <si>
    <t>Министерство сельского хозяйства Иркутской области</t>
  </si>
  <si>
    <t>Министерство природных ресурсов и экологии Иркутской области</t>
  </si>
  <si>
    <t>Управление Роспотребнадзора по Иркутской области</t>
  </si>
  <si>
    <t>Управление Федеральной службы государственной регистрации, кадастра и картографии по Иркутской области</t>
  </si>
  <si>
    <t>Ангаро-Байкальское территориальное управление Федерального агентства по рыболовству</t>
  </si>
  <si>
    <t>Отдел по предоставлению гражданам субсидий на оплату жилья и коммунальных услуг администрации Тайшетского района</t>
  </si>
  <si>
    <t>Муниципальное казенное учреждение "Служба гражданской обороны и предупреждения чрезвычайных ситуаций в муниципальном образованиии "Тайшетский район"</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</si>
  <si>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</si>
  <si>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00011105013050000120</t>
  </si>
  <si>
    <t>90911105013050000120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</si>
  <si>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</si>
  <si>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</si>
  <si>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</si>
  <si>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90911105025050000120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</si>
  <si>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</si>
  <si>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</si>
  <si>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</si>
  <si>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</si>
  <si>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</si>
  <si>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90911402053050000410</t>
  </si>
  <si>
    <t>00011406013050000430</t>
  </si>
  <si>
    <t>90911406013050000430</t>
  </si>
  <si>
    <t>90311623052050000140</t>
  </si>
  <si>
    <t>Невыясненные поступления, зачисляемые в бюджеты муниципальных районов</t>
  </si>
  <si>
    <t>00011701050050000180</t>
  </si>
  <si>
    <t>90511701050050000180</t>
  </si>
  <si>
    <t>90811701050050000180</t>
  </si>
  <si>
    <t>90911701050050000180</t>
  </si>
  <si>
    <t>00020220077050000151</t>
  </si>
  <si>
    <t>91020220077050000151</t>
  </si>
  <si>
    <t>Муниципальное учреждение "Управление строительства, архитектуры и инвестиционной политики администрации Тайшетского района"</t>
  </si>
  <si>
    <t>00020215002050000151</t>
  </si>
  <si>
    <t>90820215002050000151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</si>
  <si>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</si>
  <si>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00020225558050000151</t>
  </si>
  <si>
    <t>90220225558050000151</t>
  </si>
  <si>
    <t>00020229999050000151</t>
  </si>
  <si>
    <t>90220229999050000151</t>
  </si>
  <si>
    <t>90320229999050000151</t>
  </si>
  <si>
    <t>90820229999050000151</t>
  </si>
  <si>
    <t>91020229999050000151</t>
  </si>
  <si>
    <t>00020230022050000151</t>
  </si>
  <si>
    <t>90720230022050000151</t>
  </si>
  <si>
    <t>00020230024050000151</t>
  </si>
  <si>
    <t>90320230024050000151</t>
  </si>
  <si>
    <t>90520230024050000151</t>
  </si>
  <si>
    <t>00020239999050000151</t>
  </si>
  <si>
    <t>90320239999050000151</t>
  </si>
  <si>
    <t>00020240014050000151</t>
  </si>
  <si>
    <t>90520240014050000151</t>
  </si>
  <si>
    <t>90820240014050000151</t>
  </si>
  <si>
    <t>91120240014050000151</t>
  </si>
  <si>
    <t>91220240014050000151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</si>
  <si>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</si>
  <si>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90721960010050000151</t>
  </si>
  <si>
    <t>Субсидия бюджетам муниципальных районов на поддержку отрасли культуры</t>
  </si>
  <si>
    <t>00020225519050000151</t>
  </si>
  <si>
    <t>90220225519050000151</t>
  </si>
  <si>
    <t>00020215001050000151</t>
  </si>
  <si>
    <t>90820215001050000151</t>
  </si>
  <si>
    <t>Дотации бюджетам муниципальных районов на выравнивание бюджетной обеспеченности</t>
  </si>
  <si>
    <t>00020235120050000151</t>
  </si>
  <si>
    <t>90520235120050000151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</si>
  <si>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</si>
  <si>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проверка</t>
  </si>
  <si>
    <t>Начальник финансового управления администрации Тайшетского района</t>
  </si>
  <si>
    <t>Т.М. Вахрушева</t>
  </si>
  <si>
    <t>Единица измерения:  тыс. руб.</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</si>
  <si>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</si>
  <si>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</si>
  <si>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в связи с применением упрощенной системы налогообложения</t>
  </si>
  <si>
    <t>00010501000000000110</t>
  </si>
  <si>
    <t>00010501010010000110</t>
  </si>
  <si>
    <t>00010501011010000110</t>
  </si>
  <si>
    <t>00010501011011000110</t>
  </si>
  <si>
    <t>18210501011011000110</t>
  </si>
  <si>
    <t>00010501011012100110</t>
  </si>
  <si>
    <t>18210501011012100110</t>
  </si>
  <si>
    <t>00010501011013000110</t>
  </si>
  <si>
    <t>18210501011013000110</t>
  </si>
  <si>
    <t>00010501011014000110</t>
  </si>
  <si>
    <t>00010501020010000110</t>
  </si>
  <si>
    <t>00010501021010000110</t>
  </si>
  <si>
    <t>00010501021011000110</t>
  </si>
  <si>
    <t>18210501021011000110</t>
  </si>
  <si>
    <t>00010501021012100110</t>
  </si>
  <si>
    <t>18210501021012100110</t>
  </si>
  <si>
    <t>00010501021013000110</t>
  </si>
  <si>
    <t>18210501021013000110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</si>
  <si>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</si>
  <si>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00010501021014000110</t>
  </si>
  <si>
    <t>18210501021014000110</t>
  </si>
  <si>
    <t>00010501050011000110</t>
  </si>
  <si>
    <t>18210501050011000110</t>
  </si>
  <si>
    <t>00010501050012100110</t>
  </si>
  <si>
    <t>18210501050012100110</t>
  </si>
  <si>
    <t>00010501050013000110</t>
  </si>
  <si>
    <t>18210501050013000110</t>
  </si>
  <si>
    <t>Налог, взимаемый в связи с применением патентной системы налогообложения, зачисляемый в бюджеты муниципальных районов 5</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</si>
  <si>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</si>
  <si>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00010803010014000110</t>
  </si>
  <si>
    <t>18210803010014000110</t>
  </si>
  <si>
    <t>00011105020000000120</t>
  </si>
  <si>
    <t>Плата за выбросы загрязняющих веществ в атмосферный воздух стационарными объектами 7</t>
  </si>
  <si>
    <t>Прочие доходы от оказания платных услуг (работ) получателями средств бюджетов муниципальных районов (возмещение затрат пользователями муниципальной собственности по коммунальным платежам, прочим платежам)</t>
  </si>
  <si>
    <t>00011301995050002130</t>
  </si>
  <si>
    <t>90311301995050002130</t>
  </si>
  <si>
    <t>90211302995050004130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</si>
  <si>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</si>
  <si>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</si>
  <si>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00011402050050000410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</si>
  <si>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</si>
  <si>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</si>
  <si>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</si>
  <si>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</si>
  <si>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</si>
  <si>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</si>
  <si>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95111406313130000430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</si>
  <si>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</si>
  <si>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</si>
  <si>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</si>
  <si>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00011608020016000140</t>
  </si>
  <si>
    <t>Невыясненные поступления</t>
  </si>
  <si>
    <t>00011701000000000180</t>
  </si>
  <si>
    <t>2105</t>
  </si>
  <si>
    <t>00020210000000000151</t>
  </si>
  <si>
    <t>00020215002000000151</t>
  </si>
  <si>
    <t>00020220000000000151</t>
  </si>
  <si>
    <t>00020220077000000151</t>
  </si>
  <si>
    <t>Субсидии бюджетам муниципальных районов на софинансирование капитальных вложений в объекты муниципальной собственности</t>
  </si>
  <si>
    <t>Субсидия бюджетам на поддержку отрасли культуры</t>
  </si>
  <si>
    <t>00020225519000000151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</si>
  <si>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</si>
  <si>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</si>
  <si>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00020229999000000151</t>
  </si>
  <si>
    <t>2107</t>
  </si>
  <si>
    <t>2108</t>
  </si>
  <si>
    <t>2106</t>
  </si>
  <si>
    <t>00020230000000000151</t>
  </si>
  <si>
    <t>00020230022000000151</t>
  </si>
  <si>
    <t>00020230024000000151</t>
  </si>
  <si>
    <t>00020239999000000151</t>
  </si>
  <si>
    <t>00020240000000000151</t>
  </si>
  <si>
    <t>00020240014000000151</t>
  </si>
  <si>
    <t>00021900000050000151</t>
  </si>
  <si>
    <t>00021960010050000151</t>
  </si>
  <si>
    <t>90321960010050000151</t>
  </si>
  <si>
    <t>90521960010050000151</t>
  </si>
  <si>
    <t>90821960010050000151</t>
  </si>
  <si>
    <t>91121960010050000151</t>
  </si>
  <si>
    <t>Реестр источников доходов бюджета МО "Тайшетский район" на 2019 год и плановый период 2020 и 2021 годов</t>
  </si>
  <si>
    <t>Фактическое исполнение доходов бюджета в 2017 году</t>
  </si>
  <si>
    <t>Кассовое поступление в текущем финансовом году (по состоянию на 1 октября 2018 года)</t>
  </si>
  <si>
    <t>Оценка исполнения на 2018 год (текущий финансовый год)</t>
  </si>
  <si>
    <t>на 2019 год (очередной финансовый год)</t>
  </si>
  <si>
    <t>на 2020 год (первый год планового периода)</t>
  </si>
  <si>
    <t>на 2021 год (второй год планового периода)</t>
  </si>
  <si>
    <t>182 1 01 02040 01 0000 110</t>
  </si>
  <si>
    <t>182 1 0 102030 01 0000 110</t>
  </si>
  <si>
    <t>182 1 01 02010 01 0000 110</t>
  </si>
  <si>
    <t>182 1 01 02020 01 0000 110</t>
  </si>
  <si>
    <t>100 1 03 02230 01 0000 110</t>
  </si>
  <si>
    <t>100 1 03 02240 01 0000 110</t>
  </si>
  <si>
    <t>100 1 03 02250 01 0000 110</t>
  </si>
  <si>
    <t>100 1 03 02260 01 0000 110</t>
  </si>
  <si>
    <t>182 1 05 02010 02 0000 110</t>
  </si>
  <si>
    <t>182 1 05 01050 01 0000 110</t>
  </si>
  <si>
    <t>182 1 05 02020 02 0000 110</t>
  </si>
  <si>
    <t>182 1 05 03010 01 0000 110</t>
  </si>
  <si>
    <t>182 1 05 03020 01 0000 110</t>
  </si>
  <si>
    <t>182 1 05 04020 02 0000 110</t>
  </si>
  <si>
    <t>000 1 08 03010 01 0000 110</t>
  </si>
  <si>
    <t>182 1 08 03010 01 0000 110</t>
  </si>
  <si>
    <t>000 1 08 07084 01 0000 110</t>
  </si>
  <si>
    <t>905 1 08 07084 01 0000 110</t>
  </si>
  <si>
    <t>000 1 08 07150 01 0000 110</t>
  </si>
  <si>
    <t>909 1 08 07150 01 0000 110</t>
  </si>
  <si>
    <t>182 1 09 01030 05 0000 110</t>
  </si>
  <si>
    <t>182 1 09 04010 02 0000 110</t>
  </si>
  <si>
    <t>000 1 11 03050 05 0000 120</t>
  </si>
  <si>
    <t>908 1 11 03050 05 0000 120</t>
  </si>
  <si>
    <t>000 1 11 05013 05 0000 120</t>
  </si>
  <si>
    <t>909 1 11 05013 05 0000 120</t>
  </si>
  <si>
    <t>909 1 11 05013 13 0000 120</t>
  </si>
  <si>
    <t>000 1 11 05013 13 0000 120</t>
  </si>
  <si>
    <t>950 1 11 05013 13 0000 120</t>
  </si>
  <si>
    <t>951 1 11 05013 13 0000 120</t>
  </si>
  <si>
    <t>000 1 11 05025 05 0000 120</t>
  </si>
  <si>
    <t>909 1 11 05025 05 0000 120</t>
  </si>
  <si>
    <t>000 1 11 05035 05 0000 120</t>
  </si>
  <si>
    <t>909 1 11 05035 05 0000 120</t>
  </si>
  <si>
    <t>000 1 11 05313 10 0000 120</t>
  </si>
  <si>
    <t>909 1 11 05313 10 0000 120</t>
  </si>
  <si>
    <t>000 1 11 09045 05 0000 120</t>
  </si>
  <si>
    <t>909 1 11 09045 05 0000 120</t>
  </si>
  <si>
    <t>000 1 12 01010 01 0000 120</t>
  </si>
  <si>
    <t>048 1 12 01010 01 0000 120</t>
  </si>
  <si>
    <t>000 1 12 01020 01 0000 120</t>
  </si>
  <si>
    <t>048 1 12 01020 01 0000 120</t>
  </si>
  <si>
    <t>000 1 12 01030 01 0000 120</t>
  </si>
  <si>
    <t>048 1 12 01030 01 0000 120</t>
  </si>
  <si>
    <t>000 1 13 01995 05 0000 130</t>
  </si>
  <si>
    <t>902 1 13 01995 05 0000 130</t>
  </si>
  <si>
    <t>903 1 13 01995 05 0000 130</t>
  </si>
  <si>
    <t>000 1 13 02995 05 0000 130</t>
  </si>
  <si>
    <t>902 1 13 02995 05 0000 130</t>
  </si>
  <si>
    <t>903 1 13 02995 05 0000 130</t>
  </si>
  <si>
    <t>905 1 13 02995 05 0000 130</t>
  </si>
  <si>
    <t>000 1 14 02053 05 0000 410</t>
  </si>
  <si>
    <t>909 1 14 02053 05 0000 410</t>
  </si>
  <si>
    <t>000 1 14 06013 05 0000 430</t>
  </si>
  <si>
    <t>909 1 14 06013 05 0000 430</t>
  </si>
  <si>
    <t>000 1 14 06013 13 0000 430</t>
  </si>
  <si>
    <t>950 1 14 06013 13 0000 430</t>
  </si>
  <si>
    <t>951 1 14 06013 13 0000 430</t>
  </si>
  <si>
    <t>000 1 16 03010 01 0000 140</t>
  </si>
  <si>
    <t>182 1 16 03010 01 0000 140</t>
  </si>
  <si>
    <t>000 1 16 03030 01 0000 140</t>
  </si>
  <si>
    <t>182 1 16 03030 01 0000 140</t>
  </si>
  <si>
    <t>000 1 16 06000 01 0000 140</t>
  </si>
  <si>
    <t>182 1 16 06000 01 0000 140</t>
  </si>
  <si>
    <t>000 1 16 08010 01 0000 140</t>
  </si>
  <si>
    <t>188 1 16 08010 01 0000 140</t>
  </si>
  <si>
    <t>000 1 16 25030 01 0000 140</t>
  </si>
  <si>
    <t>815 1 16 25030 01 0000 140</t>
  </si>
  <si>
    <t>141 1 16 25050 01 0000 140</t>
  </si>
  <si>
    <t>000 1 16 25060 01 0000 140</t>
  </si>
  <si>
    <t>321 1 16 25060 01 0000 140</t>
  </si>
  <si>
    <t>000 1 16 28000 01 0000 140</t>
  </si>
  <si>
    <t>141 1 16 28000 01 0000 140</t>
  </si>
  <si>
    <t>188 1 16 28000 01 0000 140</t>
  </si>
  <si>
    <t>000 1 16 30014 01 0000 140</t>
  </si>
  <si>
    <t>188 1 16 30014 01 0000 140</t>
  </si>
  <si>
    <t>000 1 16 30030 01 0000 140</t>
  </si>
  <si>
    <t>188 1 16 30030 01 0000 140</t>
  </si>
  <si>
    <t>000 1 16 33050 05 0000 140</t>
  </si>
  <si>
    <t>832 1 16 33050 05 0000 140</t>
  </si>
  <si>
    <t>000 1 16 35030 05 0000 140</t>
  </si>
  <si>
    <t>076 1 16 35030 05 0000 140</t>
  </si>
  <si>
    <t>000 1 16 43000 01 0000 140</t>
  </si>
  <si>
    <t>188 1 16 43000 01 6000 140</t>
  </si>
  <si>
    <t>000 1 16 90050 05 0000 140</t>
  </si>
  <si>
    <t>809 1 16 90050 05 0000 140</t>
  </si>
  <si>
    <t>815 1 16 90050 05 0000 140</t>
  </si>
  <si>
    <t>840 1 16 90050 05 0000 140</t>
  </si>
  <si>
    <t>905 1 16 90050 05 0000 140</t>
  </si>
  <si>
    <t>076 1 16 90050 05 0000 140</t>
  </si>
  <si>
    <t>141 1 16 90050 05 0000 140</t>
  </si>
  <si>
    <t>188 1 16 90050 05 0000 140</t>
  </si>
  <si>
    <t>415 1 16 90050 05 0000 140</t>
  </si>
  <si>
    <t>177 1 16 90050 05 0000 140</t>
  </si>
  <si>
    <t>000 1 17 01050 05 0000 180</t>
  </si>
  <si>
    <t>905 1 17 01050 05 0000 180</t>
  </si>
  <si>
    <t>908 1 17 01050 05 0000 180</t>
  </si>
  <si>
    <t>909 1 17 01050 05 0000 180</t>
  </si>
  <si>
    <t>000 1 17 05050 05 0000 180</t>
  </si>
  <si>
    <t>909 1 17 05050 05 0000 180</t>
  </si>
  <si>
    <t>02.10.2018</t>
  </si>
  <si>
    <t/>
  </si>
  <si>
    <t>Период для фактических показателей:</t>
  </si>
  <si>
    <t>с 01.01.2018 по 30.09.2018</t>
  </si>
  <si>
    <t>Период для плановых показателей:</t>
  </si>
  <si>
    <t>с 01.01.2018 по 02.10.2018</t>
  </si>
  <si>
    <t>Поступление за Сентябрь</t>
  </si>
  <si>
    <t>Поступление на 01.10.2018</t>
  </si>
  <si>
    <t>НАЛОГИ НА ТОВАРЫ (РАБОТЫ, УСЛУГИ), РЕАЛИЗУЕМЫЕ НА ТЕРРИТОРИИ РОССИЙСКОЙ ФЕДЕРАЦИИ</t>
  </si>
  <si>
    <t>00010300000000000000</t>
  </si>
  <si>
    <t>00010302000010000110</t>
  </si>
  <si>
    <t>00010302230010000110</t>
  </si>
  <si>
    <t>00010302240010000110</t>
  </si>
  <si>
    <t>00010302250010000110</t>
  </si>
  <si>
    <t>00010302260010000110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</si>
  <si>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</si>
  <si>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</si>
  <si>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</si>
  <si>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</si>
  <si>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</si>
  <si>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</si>
  <si>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00010504020022100110</t>
  </si>
  <si>
    <t>18210504020022100110</t>
  </si>
  <si>
    <t>Прочие налоги и сборы (по отмененным налогам и сборам субъектов Российской Федерации)</t>
  </si>
  <si>
    <t>00010906000020000110</t>
  </si>
  <si>
    <t>Налог с продаж</t>
  </si>
  <si>
    <t>00010906010020000110</t>
  </si>
  <si>
    <t>Налог с продаж (пени по соответствующему платежу)</t>
  </si>
  <si>
    <t>00010906010022100110</t>
  </si>
  <si>
    <t>18210906010022100110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</si>
  <si>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</si>
  <si>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Плата за размещение отходов производства</t>
  </si>
  <si>
    <t>00011201041010000120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</si>
  <si>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</si>
  <si>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00011201041016000120</t>
  </si>
  <si>
    <t>04811201041016000120</t>
  </si>
  <si>
    <t>Плата за размещение твердых коммунальных отходов</t>
  </si>
  <si>
    <t>00011201042010000120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</si>
  <si>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</si>
  <si>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00011201042016000120</t>
  </si>
  <si>
    <t>04811201042016000120</t>
  </si>
  <si>
    <t>91011302995050000130</t>
  </si>
  <si>
    <t>90511302995050004130</t>
  </si>
  <si>
    <t>90911302995050004130</t>
  </si>
  <si>
    <t>91111302995050004130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</si>
  <si>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</si>
  <si>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14111608020016000140</t>
  </si>
  <si>
    <t>90911633050050000140</t>
  </si>
  <si>
    <t>18811643000010000140</t>
  </si>
  <si>
    <t>84311643000010000140</t>
  </si>
  <si>
    <t>18211643000016000140</t>
  </si>
  <si>
    <t>32211643000016000140</t>
  </si>
  <si>
    <t>81311690050050000140</t>
  </si>
  <si>
    <t>84311690050050000140</t>
  </si>
  <si>
    <t>91011705050050000180</t>
  </si>
  <si>
    <t>Дотации на выравнивание бюджетной обеспеченности</t>
  </si>
  <si>
    <t>00020215001000000151</t>
  </si>
  <si>
    <t>Субсидии бюджетам на реализацию мероприятий по обеспечению жильем молодых семей</t>
  </si>
  <si>
    <t>00020225497000000151</t>
  </si>
  <si>
    <t>Субсидии бюджетам муниципальных районов на реализацию мероприятий по обеспечению жильем молодых семей</t>
  </si>
  <si>
    <t>00020225497050000151</t>
  </si>
  <si>
    <t>90220225497050000151</t>
  </si>
  <si>
    <t>2109</t>
  </si>
  <si>
    <t>2112</t>
  </si>
  <si>
    <t>2110</t>
  </si>
  <si>
    <t>90920229999050000151</t>
  </si>
  <si>
    <t>2111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</si>
  <si>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</si>
  <si>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00020235120000000151</t>
  </si>
  <si>
    <t>2301</t>
  </si>
  <si>
    <t>2302</t>
  </si>
  <si>
    <t>90920240014050000151</t>
  </si>
  <si>
    <t>908 2 02 40014 05 0000 151</t>
  </si>
  <si>
    <r>
      <t xml:space="preserve">182 105 </t>
    </r>
    <r>
      <rPr>
        <sz val="8"/>
        <color rgb="FFFF0000"/>
        <rFont val="Arial Cyr"/>
        <charset val="204"/>
      </rPr>
      <t>01011</t>
    </r>
    <r>
      <rPr>
        <sz val="8"/>
        <rFont val="Arial Cyr"/>
      </rPr>
      <t xml:space="preserve"> 01 4000 110</t>
    </r>
  </si>
  <si>
    <t>182 1 05 01011 01 0000 110</t>
  </si>
  <si>
    <t>182 1 05 01012 01 0000 110</t>
  </si>
  <si>
    <t>182 1 05 01021 01 0000 110</t>
  </si>
  <si>
    <t>182 1 05 01022 01 0000 110</t>
  </si>
  <si>
    <t>000 105 01050 01 0000110</t>
  </si>
  <si>
    <t>182 1 09 06010 02 0000 110</t>
  </si>
  <si>
    <t>Норматив зачисления в бюджет МО "Тайшетский район" на 2019 год в процентах</t>
  </si>
  <si>
    <t>60</t>
  </si>
  <si>
    <t>Уполномоченный орган  местного самоуправления городского поселения</t>
  </si>
  <si>
    <t xml:space="preserve">Плата за размещение отходов производства </t>
  </si>
  <si>
    <t>000 1 12 01041 01 0000 120</t>
  </si>
  <si>
    <t>048 1 12 01041 01 0000 120</t>
  </si>
  <si>
    <t>000 1 12 01042 01 0000 120</t>
  </si>
  <si>
    <t>048 1 12 01042 01 0000 120</t>
  </si>
  <si>
    <t xml:space="preserve">Плата за размещение твердых коммунальных отходов </t>
  </si>
  <si>
    <t>909 1 13 02995 05 0000 130</t>
  </si>
  <si>
    <t>910 1 13 02995 05 0000 130</t>
  </si>
  <si>
    <t>911 1 13 02995 05 0000 130</t>
  </si>
  <si>
    <t>Комитет по управлению муниципальным имуществом, строительству, архитектуре и жилищно-коммунальному хозяйству   администрации Тайшетского района</t>
  </si>
  <si>
    <t>Управление культуры, спорта и молодежной политики администрации Тайшетского района"</t>
  </si>
  <si>
    <t>951 1 14 06313 13 0000 430</t>
  </si>
  <si>
    <t>000 1 16 25050 01 0000 140</t>
  </si>
  <si>
    <t>909 1 16 33050 05 0000 140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</si>
  <si>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</si>
  <si>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843 1 16 43000 01 6000 140</t>
  </si>
  <si>
    <t>182 1 16 43000 01 6000 140</t>
  </si>
  <si>
    <t>322 1 16 43000 01 6000 140</t>
  </si>
  <si>
    <t>Министерство лесного комплекса Иркутской области</t>
  </si>
  <si>
    <t xml:space="preserve">Управление Федеральной службы судебных приставов по Иркутской области   </t>
  </si>
  <si>
    <t>813 1 16 90050 05 0000 140</t>
  </si>
  <si>
    <t>Министерство имущественных отношений Иркутской области</t>
  </si>
  <si>
    <t>843 1 16 90050 05 0000 140</t>
  </si>
  <si>
    <t xml:space="preserve">Прочие неналоговые доходы </t>
  </si>
  <si>
    <t>910 1 17 05050 05 0000 180</t>
  </si>
  <si>
    <t>=</t>
  </si>
  <si>
    <t>188 116 08 01001 6000 140</t>
  </si>
  <si>
    <t>00011608 02001 0000140</t>
  </si>
  <si>
    <t>141 1 16 08020 01 0000 140</t>
  </si>
  <si>
    <t>000 1 16 08020 01 0000 140</t>
  </si>
  <si>
    <t xml:space="preserve">Денежные взыскания (штрафы) за административные правонарушения в области государственного регулирования производства и оборота табачной продукции </t>
  </si>
  <si>
    <t xml:space="preserve">                                </t>
  </si>
  <si>
    <t>843 1 16 25030 01 0000 140</t>
  </si>
  <si>
    <t>081 1 16 25060 01 0000 140</t>
  </si>
  <si>
    <t>Управление Россельхознадзора по Иркутской области и Республике Бурятия</t>
  </si>
  <si>
    <t>Задолженность и перерасчеты по отмененным налогам, сборам и инфм обязательным платежам</t>
  </si>
  <si>
    <t>0,034³                       0,104⁴</t>
  </si>
  <si>
    <t>34,25¹                                   31,25²</t>
  </si>
  <si>
    <t>1 норматив зачисления в бюджет муниципального образования "Тайшетский район" от налога, взимаемого на территории сельских поселений Тайшетского района.
2 норматив зачисления в бюджет  муниципального образования "Тайшетский район" от налога, взимаемого на территории городских поселений Тайшетского района.                                                                                                                                                                                                                                                                                                                  3 норматив зачисления в бюджет муниципального образования "Тайшетский район", согласно Закона Иркутской области "Об областном бюджете на 2018 год и плановый период 2019-2020 годы" от 18.12.2017г. 98-ОЗ.                                                                                                                                        4 норматив зачисления в бюджет муниципального образования "Тайшетский район", согласно проекта Закона Иркутской области "Об областном бюджете на 2019 год и плановый период 2020-2021 годы.                                                                                                                                                                                                                                                              5 данные по безвозмездным поступлениям за 2018 год представлены по сопоставимым кодам видов доходов бюджетов, утвержденным Приказом Минфина России от 08.06.2018 г. № 132н "О порядке формирования и применения кодов бюджетной классификации Российской Федерации, их структуре и принципах назначения".</t>
  </si>
  <si>
    <t>911 2 19 05000 05 0000 150</t>
  </si>
  <si>
    <t>908 2 19 05000 05 0000 150</t>
  </si>
  <si>
    <t>907 2 19 60010 05 0000 150</t>
  </si>
  <si>
    <t>905 2 19 05000 05 0000 150</t>
  </si>
  <si>
    <t>903 2 19 05000 05 0000 150</t>
  </si>
  <si>
    <t>000 2 19 05000 05 0000 150</t>
  </si>
  <si>
    <t>903 2 07 05020 05 0000 150</t>
  </si>
  <si>
    <t>000 2 07 05020 05 0000 150</t>
  </si>
  <si>
    <t>912 2 02 40014 05 0000 150</t>
  </si>
  <si>
    <t>911 2 02 40014 05 0000 150</t>
  </si>
  <si>
    <t>909 2 02 40014 05 0000 150</t>
  </si>
  <si>
    <t>905 2 02 40014 05 0000 150</t>
  </si>
  <si>
    <t>000 2 02 40014 05 0000 150</t>
  </si>
  <si>
    <t>903 2 02 39999 05 0000 150</t>
  </si>
  <si>
    <t>000 2 02 39999 05 0000 150</t>
  </si>
  <si>
    <t>905 2 02 35120 05 0000 150</t>
  </si>
  <si>
    <t>000 2 02 35120 05 0000 150</t>
  </si>
  <si>
    <t>905 2 02 30024 05 0000 150</t>
  </si>
  <si>
    <t>903 2 02 30024 05 0000 150</t>
  </si>
  <si>
    <t>000 2 02 30024 05 0000 150</t>
  </si>
  <si>
    <t>907 2 02 30022 05 0000 150</t>
  </si>
  <si>
    <t>000 2 02 30022 05 0000 150</t>
  </si>
  <si>
    <t>910 2 02 29999 05 0000 150</t>
  </si>
  <si>
    <t>909 2 02 29999 05 0000 150</t>
  </si>
  <si>
    <t>908 2 02 29999 05 0000 150</t>
  </si>
  <si>
    <t>903 2 02 29999 05 0000 150</t>
  </si>
  <si>
    <t>902 2 02 29999 05 0000 150</t>
  </si>
  <si>
    <t>000 2 02 29999 05 0000 150</t>
  </si>
  <si>
    <t>902 2 02 25519 05 0000 150</t>
  </si>
  <si>
    <t>000 2 02 25519 05 0000 150</t>
  </si>
  <si>
    <t>902 2 02 25497 05 0000 150</t>
  </si>
  <si>
    <t>000 2 02 25497 05 0000 150</t>
  </si>
  <si>
    <t>910 2 02 20077 05 0000 150</t>
  </si>
  <si>
    <t>000 2 02 20077 05 0000 150</t>
  </si>
  <si>
    <t>908 2 02 15002 05 0000 150</t>
  </si>
  <si>
    <t>000 2 02 15002 05 0000 150</t>
  </si>
  <si>
    <t>908 2 02 15001 05 0000 150</t>
  </si>
  <si>
    <t>000 2 02 15001 05 0000 150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</si>
</sst>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0.000"/>
    <numFmt numFmtId="166" formatCode="?"/>
    <numFmt numFmtId="167" formatCode="?.00"/>
    <numFmt numFmtId="168" formatCode="0.000"/>
    <numFmt numFmtId="169" formatCode="_-* #,##0.000\ _₽_-;\-* #,##0.000\ _₽_-;_-* &quot;-&quot;??\ _₽_-;_-@_-"/>
    <numFmt numFmtId="170" formatCode="_-* #,##0.000\ _₽_-;\-* #,##0.000\ _₽_-;_-* &quot;-&quot;???\ _₽_-;_-@_-"/>
    <numFmt numFmtId="171" formatCode="#,##0.0"/>
  </numFmts>
  <fonts count="45" x14ac:knownFonts="1">
    <font>
      <sz val="10"/>
      <name val="Arial"/>
    </font>
    <font>
      <b/>
      <sz val="8.5"/>
      <name val="Times New Roman"/>
      <family val="1"/>
      <charset val="204"/>
    </font>
    <font>
      <sz val="8.5"/>
      <name val="MS Sans Serif"/>
      <family val="2"/>
      <charset val="204"/>
    </font>
    <font>
      <sz val="8.5"/>
      <name val="Times New Roman"/>
      <family val="1"/>
      <charset val="204"/>
    </font>
    <font>
      <sz val="10"/>
      <name val="Times New Roman"/>
      <family val="1"/>
      <charset val="204"/>
    </font>
    <font>
      <sz val="10"/>
      <name val="Arial Cyr"/>
    </font>
    <font>
      <b/>
      <sz val="12"/>
      <name val="Times New Roman"/>
      <family val="1"/>
      <charset val="204"/>
    </font>
    <font>
      <sz val="8"/>
      <name val="Arial Cyr"/>
    </font>
    <font>
      <b/>
      <sz val="8"/>
      <name val="Arial"/>
      <family val="2"/>
      <charset val="204"/>
    </font>
    <font>
      <b/>
      <sz val="8"/>
      <name val="Arial cyr"/>
    </font>
    <font>
      <sz val="10"/>
      <name val="Arial"/>
      <family val="2"/>
      <charset val="204"/>
    </font>
    <font>
      <b/>
      <sz val="9"/>
      <name val="Times New Roman"/>
      <family val="1"/>
      <charset val="204"/>
    </font>
    <font>
      <sz val="9"/>
      <name val="Times New Roman"/>
      <family val="1"/>
      <charset val="204"/>
    </font>
    <font>
      <b/>
      <sz val="9"/>
      <color rgb="FFFF0000"/>
      <name val="Times New Roman"/>
      <family val="1"/>
      <charset val="204"/>
    </font>
    <font>
      <sz val="9"/>
      <color rgb="FFFF0000"/>
      <name val="Times New Roman"/>
      <family val="1"/>
      <charset val="204"/>
    </font>
    <font>
      <sz val="8"/>
      <color rgb="FF000000"/>
      <name val="Arial"/>
      <family val="2"/>
      <charset val="204"/>
    </font>
    <font>
      <b/>
      <sz val="9"/>
      <color theme="1"/>
      <name val="Times New Roman"/>
      <family val="1"/>
      <charset val="204"/>
    </font>
    <font>
      <sz val="9"/>
      <color theme="1"/>
      <name val="Times New Roman"/>
      <family val="1"/>
      <charset val="204"/>
    </font>
    <font>
      <b/>
      <sz val="8"/>
      <color rgb="FFFF0000"/>
      <name val="Arial cyr"/>
    </font>
    <font>
      <b/>
      <sz val="9"/>
      <color theme="3"/>
      <name val="Arial cyr"/>
    </font>
    <font>
      <sz val="9"/>
      <color theme="3"/>
      <name val="Arial"/>
      <family val="2"/>
      <charset val="204"/>
    </font>
    <font>
      <b/>
      <sz val="8"/>
      <color rgb="FF00B050"/>
      <name val="Arial cyr"/>
    </font>
    <font>
      <sz val="10"/>
      <color rgb="FF00B050"/>
      <name val="Arial"/>
      <family val="2"/>
      <charset val="204"/>
    </font>
    <font>
      <b/>
      <sz val="9"/>
      <color theme="5"/>
      <name val="Arial cyr"/>
    </font>
    <font>
      <sz val="9"/>
      <color theme="5"/>
      <name val="Arial"/>
      <family val="2"/>
      <charset val="204"/>
    </font>
    <font>
      <b/>
      <sz val="9"/>
      <color rgb="FFFF0000"/>
      <name val="Arial cyr"/>
    </font>
    <font>
      <b/>
      <sz val="9"/>
      <color rgb="FF00B050"/>
      <name val="Arial cyr"/>
    </font>
    <font>
      <sz val="9"/>
      <color rgb="FF00B050"/>
      <name val="Arial"/>
      <family val="2"/>
      <charset val="204"/>
    </font>
    <font>
      <b/>
      <sz val="8"/>
      <color rgb="FFFF0000"/>
      <name val="Arial Cyr"/>
      <charset val="204"/>
    </font>
    <font>
      <b/>
      <sz val="9"/>
      <color theme="3"/>
      <name val="Arial"/>
      <family val="2"/>
      <charset val="204"/>
    </font>
    <font>
      <sz val="14"/>
      <color theme="1"/>
      <name val="Times New Roman"/>
      <family val="1"/>
      <charset val="204"/>
    </font>
    <font>
      <b/>
      <sz val="9"/>
      <color theme="1"/>
      <name val="Arial cyr"/>
    </font>
    <font>
      <b/>
      <sz val="10"/>
      <color rgb="FFFF0000"/>
      <name val="Arial cyr"/>
    </font>
    <font>
      <sz val="8"/>
      <color rgb="FFFF0000"/>
      <name val="Arial Cyr"/>
      <charset val="204"/>
    </font>
    <font>
      <b/>
      <sz val="9"/>
      <color theme="3"/>
      <name val="Times New Roman"/>
      <family val="1"/>
      <charset val="204"/>
    </font>
    <font>
      <sz val="9"/>
      <color theme="3"/>
      <name val="Times New Roman"/>
      <family val="1"/>
      <charset val="204"/>
    </font>
    <font>
      <sz val="10"/>
      <name val="Arial"/>
    </font>
    <font>
      <b/>
      <sz val="8.5"/>
      <color rgb="FF7030A0"/>
      <name val="Times New Roman"/>
      <family val="1"/>
      <charset val="204"/>
    </font>
    <font>
      <sz val="10"/>
      <color rgb="FF7030A0"/>
      <name val="Times New Roman"/>
      <family val="1"/>
      <charset val="204"/>
    </font>
    <font>
      <b/>
      <sz val="8"/>
      <color rgb="FF7030A0"/>
      <name val="Arial"/>
      <family val="2"/>
      <charset val="204"/>
    </font>
    <font>
      <b/>
      <sz val="9"/>
      <color rgb="FF7030A0"/>
      <name val="Arial cyr"/>
    </font>
    <font>
      <b/>
      <sz val="8"/>
      <color rgb="FF7030A0"/>
      <name val="Arial cyr"/>
    </font>
    <font>
      <sz val="8"/>
      <color rgb="FF7030A0"/>
      <name val="Arial Cyr"/>
    </font>
    <font>
      <sz val="10"/>
      <color rgb="FF7030A0"/>
      <name val="Arial"/>
      <family val="2"/>
      <charset val="204"/>
    </font>
    <font>
      <b/>
      <sz val="8"/>
      <color theme="1"/>
      <name val="Arial cy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0" fillId="0" borderId="0" applyFont="0" applyFill="0" applyBorder="0" applyAlignment="0" applyProtection="0"/>
    <xf numFmtId="0" fontId="15" fillId="0" borderId="7">
      <alignment horizontal="left" wrapText="1" indent="2"/>
    </xf>
    <xf numFmtId="49" fontId="15" fillId="0" borderId="8">
      <alignment horizontal="center"/>
    </xf>
    <xf numFmtId="9" fontId="36" fillId="0" borderId="0" applyFont="0" applyFill="0" applyBorder="0" applyAlignment="0" applyProtection="0"/>
  </cellStyleXfs>
  <cellXfs count="231">
    <xf numFmtId="0" fontId="0" fillId="0" borderId="0" xfId="0"/>
    <xf numFmtId="0" fontId="1" fillId="0" borderId="1" xfId="0" applyFont="1" applyBorder="1" applyAlignment="1" applyProtection="1"/>
    <xf numFmtId="0" fontId="2" fillId="0" borderId="0" xfId="0" applyFont="1" applyBorder="1" applyAlignment="1" applyProtection="1"/>
    <xf numFmtId="0" fontId="3" fillId="0" borderId="0" xfId="0" applyFont="1" applyBorder="1" applyAlignment="1" applyProtection="1"/>
    <xf numFmtId="49" fontId="2" fillId="0" borderId="0" xfId="0" applyNumberFormat="1" applyFont="1" applyBorder="1" applyAlignment="1" applyProtection="1">
      <alignment horizontal="right"/>
    </xf>
    <xf numFmtId="49" fontId="3" fillId="0" borderId="0" xfId="0" applyNumberFormat="1" applyFont="1" applyBorder="1" applyAlignment="1" applyProtection="1">
      <alignment horizontal="left"/>
    </xf>
    <xf numFmtId="0" fontId="4" fillId="0" borderId="0" xfId="0" applyFont="1" applyBorder="1" applyAlignment="1" applyProtection="1"/>
    <xf numFmtId="0" fontId="4" fillId="0" borderId="0" xfId="0" applyFont="1" applyBorder="1" applyAlignment="1" applyProtection="1">
      <alignment horizontal="center"/>
    </xf>
    <xf numFmtId="0" fontId="5" fillId="0" borderId="0" xfId="0" applyFont="1" applyBorder="1" applyAlignment="1" applyProtection="1"/>
    <xf numFmtId="49" fontId="7" fillId="0" borderId="0" xfId="0" applyNumberFormat="1" applyFont="1" applyBorder="1" applyAlignment="1" applyProtection="1">
      <alignment wrapText="1"/>
    </xf>
    <xf numFmtId="0" fontId="9" fillId="0" borderId="3" xfId="0" applyFont="1" applyBorder="1" applyAlignment="1" applyProtection="1">
      <alignment horizontal="center" vertical="center" wrapText="1"/>
    </xf>
    <xf numFmtId="49" fontId="9" fillId="0" borderId="3" xfId="0" applyNumberFormat="1" applyFont="1" applyBorder="1" applyAlignment="1" applyProtection="1">
      <alignment horizontal="left" vertical="center" wrapText="1"/>
    </xf>
    <xf numFmtId="49" fontId="9" fillId="0" borderId="3" xfId="0" applyNumberFormat="1" applyFont="1" applyBorder="1" applyAlignment="1" applyProtection="1">
      <alignment horizontal="center" vertical="center" wrapText="1"/>
    </xf>
    <xf numFmtId="165" fontId="9" fillId="0" borderId="3" xfId="0" applyNumberFormat="1" applyFont="1" applyBorder="1" applyAlignment="1" applyProtection="1">
      <alignment horizontal="right" vertical="center" wrapText="1"/>
    </xf>
    <xf numFmtId="166" fontId="9"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3" xfId="0" applyNumberFormat="1" applyFont="1" applyBorder="1" applyAlignment="1" applyProtection="1">
      <alignment horizontal="center" vertical="center" wrapText="1"/>
    </xf>
    <xf numFmtId="165" fontId="7" fillId="0" borderId="3" xfId="0" applyNumberFormat="1" applyFont="1" applyBorder="1" applyAlignment="1" applyProtection="1">
      <alignment horizontal="right" vertical="center" wrapText="1"/>
    </xf>
    <xf numFmtId="166" fontId="7" fillId="0" borderId="3" xfId="0" applyNumberFormat="1" applyFont="1" applyBorder="1" applyAlignment="1" applyProtection="1">
      <alignment horizontal="left" vertical="center" wrapText="1"/>
    </xf>
    <xf numFmtId="49" fontId="9" fillId="2" borderId="3" xfId="0" applyNumberFormat="1" applyFont="1" applyFill="1" applyBorder="1" applyAlignment="1" applyProtection="1">
      <alignment horizontal="center" vertical="center" wrapText="1"/>
    </xf>
    <xf numFmtId="49" fontId="7" fillId="2" borderId="3" xfId="0" applyNumberFormat="1" applyFont="1" applyFill="1" applyBorder="1" applyAlignment="1" applyProtection="1">
      <alignment horizontal="center" vertical="center" wrapText="1"/>
    </xf>
    <xf numFmtId="49" fontId="11" fillId="0" borderId="3" xfId="0" applyNumberFormat="1" applyFont="1" applyBorder="1" applyAlignment="1" applyProtection="1">
      <alignment horizontal="left" vertical="center" wrapText="1"/>
    </xf>
    <xf numFmtId="166" fontId="11" fillId="0" borderId="3" xfId="0" applyNumberFormat="1" applyFont="1" applyBorder="1" applyAlignment="1" applyProtection="1">
      <alignment horizontal="left" vertical="center" wrapText="1"/>
    </xf>
    <xf numFmtId="166" fontId="12" fillId="0" borderId="3" xfId="0" applyNumberFormat="1" applyFont="1" applyBorder="1" applyAlignment="1" applyProtection="1">
      <alignment horizontal="left" vertical="center" wrapText="1"/>
    </xf>
    <xf numFmtId="49" fontId="12" fillId="0" borderId="3" xfId="0" applyNumberFormat="1" applyFont="1" applyBorder="1" applyAlignment="1" applyProtection="1">
      <alignment horizontal="left" vertical="center" wrapText="1"/>
    </xf>
    <xf numFmtId="0" fontId="12" fillId="0" borderId="0" xfId="0" applyFont="1"/>
    <xf numFmtId="0" fontId="11" fillId="0" borderId="4" xfId="0" applyFont="1" applyBorder="1" applyAlignment="1" applyProtection="1">
      <alignment horizontal="center" vertical="center" wrapText="1"/>
    </xf>
    <xf numFmtId="0" fontId="12" fillId="0" borderId="0" xfId="0" applyFont="1" applyFill="1"/>
    <xf numFmtId="49" fontId="11" fillId="0" borderId="3"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1" fillId="0" borderId="3" xfId="0" applyNumberFormat="1" applyFont="1" applyBorder="1" applyAlignment="1" applyProtection="1">
      <alignment horizontal="center" vertical="center"/>
    </xf>
    <xf numFmtId="166" fontId="12" fillId="0" borderId="3" xfId="0" applyNumberFormat="1" applyFont="1" applyBorder="1" applyAlignment="1" applyProtection="1">
      <alignment horizontal="center" vertical="center" wrapText="1"/>
    </xf>
    <xf numFmtId="164" fontId="11" fillId="0" borderId="3" xfId="1" applyFont="1" applyBorder="1" applyAlignment="1" applyProtection="1">
      <alignment horizontal="center" vertical="center" wrapText="1"/>
    </xf>
    <xf numFmtId="166" fontId="11" fillId="0" borderId="6" xfId="0" applyNumberFormat="1" applyFont="1" applyBorder="1" applyAlignment="1" applyProtection="1">
      <alignment horizontal="center" vertical="center" wrapText="1"/>
    </xf>
    <xf numFmtId="0" fontId="11" fillId="0" borderId="0" xfId="0" applyFont="1"/>
    <xf numFmtId="49" fontId="16" fillId="0" borderId="3" xfId="0" applyNumberFormat="1" applyFont="1" applyBorder="1" applyAlignment="1" applyProtection="1">
      <alignment horizontal="left" vertical="center" wrapText="1"/>
    </xf>
    <xf numFmtId="49" fontId="13" fillId="0" borderId="3" xfId="0" applyNumberFormat="1" applyFont="1" applyBorder="1" applyAlignment="1" applyProtection="1">
      <alignment horizontal="center" vertical="center" wrapText="1"/>
    </xf>
    <xf numFmtId="0" fontId="14" fillId="0" borderId="0" xfId="0" applyFont="1"/>
    <xf numFmtId="49" fontId="16" fillId="0" borderId="3" xfId="0" applyNumberFormat="1" applyFont="1" applyBorder="1" applyAlignment="1" applyProtection="1">
      <alignment horizontal="center" vertical="center" wrapText="1"/>
    </xf>
    <xf numFmtId="0" fontId="17" fillId="0" borderId="0" xfId="0" applyFont="1"/>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166" fontId="12" fillId="0" borderId="3" xfId="0" applyNumberFormat="1" applyFont="1" applyFill="1" applyBorder="1" applyAlignment="1" applyProtection="1">
      <alignment horizontal="left" vertical="center" wrapText="1"/>
    </xf>
    <xf numFmtId="166" fontId="16" fillId="0" borderId="3" xfId="0" applyNumberFormat="1" applyFont="1" applyBorder="1" applyAlignment="1" applyProtection="1">
      <alignment horizontal="left" vertical="center" wrapText="1"/>
    </xf>
    <xf numFmtId="165" fontId="9" fillId="2" borderId="3" xfId="0" applyNumberFormat="1" applyFont="1" applyFill="1" applyBorder="1" applyAlignment="1" applyProtection="1">
      <alignment horizontal="right" vertical="center" wrapText="1"/>
    </xf>
    <xf numFmtId="49" fontId="17" fillId="0" borderId="3" xfId="0" applyNumberFormat="1" applyFont="1" applyBorder="1" applyAlignment="1" applyProtection="1">
      <alignment horizontal="center" vertical="center" wrapText="1"/>
    </xf>
    <xf numFmtId="49" fontId="12" fillId="0" borderId="3" xfId="0" applyNumberFormat="1" applyFont="1" applyFill="1" applyBorder="1" applyAlignment="1" applyProtection="1">
      <alignment horizontal="left" vertical="center" wrapText="1"/>
    </xf>
    <xf numFmtId="49" fontId="17" fillId="0" borderId="3" xfId="0" applyNumberFormat="1" applyFont="1" applyFill="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166" fontId="12" fillId="0" borderId="6" xfId="0" applyNumberFormat="1" applyFont="1" applyBorder="1" applyAlignment="1" applyProtection="1">
      <alignment horizontal="center" vertical="center" wrapText="1"/>
    </xf>
    <xf numFmtId="49" fontId="17" fillId="0" borderId="3" xfId="0" applyNumberFormat="1" applyFont="1" applyBorder="1" applyAlignment="1" applyProtection="1">
      <alignment horizontal="left" vertical="center" wrapText="1"/>
    </xf>
    <xf numFmtId="4" fontId="17" fillId="0" borderId="3" xfId="0" applyNumberFormat="1" applyFont="1" applyFill="1" applyBorder="1" applyAlignment="1" applyProtection="1">
      <alignment horizontal="center" vertical="center" wrapText="1"/>
    </xf>
    <xf numFmtId="165" fontId="17" fillId="0" borderId="3" xfId="0" applyNumberFormat="1" applyFont="1" applyFill="1" applyBorder="1" applyAlignment="1" applyProtection="1">
      <alignment horizontal="center" vertical="center" wrapText="1"/>
    </xf>
    <xf numFmtId="49" fontId="11" fillId="0" borderId="0" xfId="0" applyNumberFormat="1" applyFont="1" applyBorder="1" applyAlignment="1" applyProtection="1">
      <alignment horizontal="center" vertical="center"/>
    </xf>
    <xf numFmtId="0" fontId="11" fillId="0" borderId="0" xfId="0" applyFont="1" applyAlignment="1">
      <alignment horizontal="right"/>
    </xf>
    <xf numFmtId="0" fontId="12" fillId="0" borderId="0" xfId="0" applyFont="1" applyBorder="1" applyAlignment="1">
      <alignment horizontal="left" wrapText="1"/>
    </xf>
    <xf numFmtId="0" fontId="12" fillId="0" borderId="1" xfId="0" applyFont="1" applyBorder="1" applyAlignment="1">
      <alignment horizontal="left" wrapText="1"/>
    </xf>
    <xf numFmtId="165" fontId="4" fillId="0" borderId="0" xfId="0" applyNumberFormat="1" applyFont="1" applyBorder="1" applyAlignment="1" applyProtection="1">
      <alignment horizontal="center"/>
    </xf>
    <xf numFmtId="49" fontId="19" fillId="0" borderId="3" xfId="0" applyNumberFormat="1" applyFont="1" applyBorder="1" applyAlignment="1" applyProtection="1">
      <alignment horizontal="left" vertical="center" wrapText="1"/>
    </xf>
    <xf numFmtId="49" fontId="19" fillId="0" borderId="3" xfId="0" applyNumberFormat="1" applyFont="1" applyBorder="1" applyAlignment="1" applyProtection="1">
      <alignment horizontal="center" vertical="center" wrapText="1"/>
    </xf>
    <xf numFmtId="165" fontId="19" fillId="0" borderId="3" xfId="0" applyNumberFormat="1" applyFont="1" applyBorder="1" applyAlignment="1" applyProtection="1">
      <alignment horizontal="right" vertical="center" wrapText="1"/>
    </xf>
    <xf numFmtId="165" fontId="19" fillId="3" borderId="3" xfId="0" applyNumberFormat="1" applyFont="1" applyFill="1" applyBorder="1" applyAlignment="1" applyProtection="1">
      <alignment horizontal="right" vertical="center" wrapText="1"/>
    </xf>
    <xf numFmtId="165" fontId="19" fillId="2" borderId="3" xfId="0" applyNumberFormat="1" applyFont="1" applyFill="1" applyBorder="1" applyAlignment="1" applyProtection="1">
      <alignment horizontal="right" vertical="center" wrapText="1"/>
    </xf>
    <xf numFmtId="165" fontId="20" fillId="0" borderId="0" xfId="0" applyNumberFormat="1" applyFont="1"/>
    <xf numFmtId="0" fontId="20" fillId="0" borderId="0" xfId="0" applyFont="1"/>
    <xf numFmtId="165" fontId="9" fillId="3" borderId="3" xfId="0" applyNumberFormat="1" applyFont="1" applyFill="1" applyBorder="1" applyAlignment="1" applyProtection="1">
      <alignment horizontal="right" vertical="center" wrapText="1"/>
    </xf>
    <xf numFmtId="165" fontId="9" fillId="0" borderId="3" xfId="0" applyNumberFormat="1" applyFont="1" applyFill="1" applyBorder="1" applyAlignment="1" applyProtection="1">
      <alignment horizontal="right" vertical="center" wrapText="1"/>
    </xf>
    <xf numFmtId="165" fontId="0" fillId="0" borderId="0" xfId="0" applyNumberFormat="1"/>
    <xf numFmtId="49" fontId="21" fillId="0" borderId="3" xfId="0" applyNumberFormat="1" applyFont="1" applyBorder="1" applyAlignment="1" applyProtection="1">
      <alignment horizontal="left" vertical="center" wrapText="1"/>
    </xf>
    <xf numFmtId="49" fontId="21" fillId="0" borderId="3" xfId="0" applyNumberFormat="1" applyFont="1" applyBorder="1" applyAlignment="1" applyProtection="1">
      <alignment horizontal="center" vertical="center" wrapText="1"/>
    </xf>
    <xf numFmtId="165" fontId="21" fillId="0" borderId="3" xfId="0" applyNumberFormat="1" applyFont="1" applyBorder="1" applyAlignment="1" applyProtection="1">
      <alignment horizontal="right" vertical="center" wrapText="1"/>
    </xf>
    <xf numFmtId="165" fontId="21" fillId="3" borderId="3" xfId="0" applyNumberFormat="1" applyFont="1" applyFill="1" applyBorder="1" applyAlignment="1" applyProtection="1">
      <alignment horizontal="right" vertical="center" wrapText="1"/>
    </xf>
    <xf numFmtId="165" fontId="21" fillId="2" borderId="3" xfId="0" applyNumberFormat="1" applyFont="1" applyFill="1" applyBorder="1" applyAlignment="1" applyProtection="1">
      <alignment horizontal="right" vertical="center" wrapText="1"/>
    </xf>
    <xf numFmtId="165" fontId="22" fillId="0" borderId="0" xfId="0" applyNumberFormat="1" applyFont="1"/>
    <xf numFmtId="0" fontId="22" fillId="0" borderId="0" xfId="0" applyFont="1"/>
    <xf numFmtId="49" fontId="19" fillId="2" borderId="3" xfId="0" applyNumberFormat="1" applyFont="1" applyFill="1" applyBorder="1" applyAlignment="1" applyProtection="1">
      <alignment horizontal="center" vertical="center" wrapText="1"/>
    </xf>
    <xf numFmtId="49" fontId="23" fillId="0" borderId="3" xfId="0" applyNumberFormat="1" applyFont="1" applyBorder="1" applyAlignment="1" applyProtection="1">
      <alignment horizontal="left" vertical="center" wrapText="1"/>
    </xf>
    <xf numFmtId="49" fontId="23" fillId="2" borderId="3" xfId="0" applyNumberFormat="1" applyFont="1" applyFill="1" applyBorder="1" applyAlignment="1" applyProtection="1">
      <alignment horizontal="center" vertical="center" wrapText="1"/>
    </xf>
    <xf numFmtId="49" fontId="23" fillId="0" borderId="3" xfId="0" applyNumberFormat="1" applyFont="1" applyBorder="1" applyAlignment="1" applyProtection="1">
      <alignment horizontal="center" vertical="center" wrapText="1"/>
    </xf>
    <xf numFmtId="165" fontId="23" fillId="0" borderId="3" xfId="0" applyNumberFormat="1" applyFont="1" applyBorder="1" applyAlignment="1" applyProtection="1">
      <alignment horizontal="right" vertical="center" wrapText="1"/>
    </xf>
    <xf numFmtId="165" fontId="23" fillId="3" borderId="3" xfId="0" applyNumberFormat="1" applyFont="1" applyFill="1" applyBorder="1" applyAlignment="1" applyProtection="1">
      <alignment horizontal="right" vertical="center" wrapText="1"/>
    </xf>
    <xf numFmtId="165" fontId="23" fillId="2" borderId="3" xfId="0" applyNumberFormat="1" applyFont="1" applyFill="1" applyBorder="1" applyAlignment="1" applyProtection="1">
      <alignment horizontal="right" vertical="center" wrapText="1"/>
    </xf>
    <xf numFmtId="0" fontId="24" fillId="0" borderId="0" xfId="0" applyFont="1"/>
    <xf numFmtId="166" fontId="26" fillId="0" borderId="3" xfId="0" applyNumberFormat="1" applyFont="1" applyBorder="1" applyAlignment="1" applyProtection="1">
      <alignment horizontal="left" vertical="center" wrapText="1"/>
    </xf>
    <xf numFmtId="49" fontId="26" fillId="0" borderId="3" xfId="0" applyNumberFormat="1" applyFont="1" applyBorder="1" applyAlignment="1" applyProtection="1">
      <alignment horizontal="center" vertical="center" wrapText="1"/>
    </xf>
    <xf numFmtId="165" fontId="26" fillId="0" borderId="3" xfId="0" applyNumberFormat="1" applyFont="1" applyBorder="1" applyAlignment="1" applyProtection="1">
      <alignment horizontal="right" vertical="center" wrapText="1"/>
    </xf>
    <xf numFmtId="165" fontId="26" fillId="3" borderId="3" xfId="0" applyNumberFormat="1" applyFont="1" applyFill="1" applyBorder="1" applyAlignment="1" applyProtection="1">
      <alignment horizontal="right" vertical="center" wrapText="1"/>
    </xf>
    <xf numFmtId="165" fontId="26" fillId="2" borderId="3" xfId="0" applyNumberFormat="1" applyFont="1" applyFill="1" applyBorder="1" applyAlignment="1" applyProtection="1">
      <alignment horizontal="right" vertical="center" wrapText="1"/>
    </xf>
    <xf numFmtId="165" fontId="27" fillId="0" borderId="0" xfId="0" applyNumberFormat="1" applyFont="1"/>
    <xf numFmtId="0" fontId="27" fillId="0" borderId="0" xfId="0" applyFont="1"/>
    <xf numFmtId="166" fontId="19" fillId="0" borderId="3" xfId="0" applyNumberFormat="1" applyFont="1" applyBorder="1" applyAlignment="1" applyProtection="1">
      <alignment horizontal="left" vertical="center" wrapText="1"/>
    </xf>
    <xf numFmtId="165" fontId="7" fillId="2" borderId="3" xfId="0" applyNumberFormat="1" applyFont="1" applyFill="1" applyBorder="1" applyAlignment="1" applyProtection="1">
      <alignment horizontal="right" vertical="center" wrapText="1"/>
    </xf>
    <xf numFmtId="165" fontId="28" fillId="2" borderId="3" xfId="0" applyNumberFormat="1" applyFont="1" applyFill="1" applyBorder="1" applyAlignment="1" applyProtection="1">
      <alignment horizontal="right" vertical="center" wrapText="1"/>
    </xf>
    <xf numFmtId="49" fontId="26" fillId="0" borderId="3" xfId="0" applyNumberFormat="1" applyFont="1" applyBorder="1" applyAlignment="1" applyProtection="1">
      <alignment horizontal="left" vertical="center" wrapText="1"/>
    </xf>
    <xf numFmtId="165" fontId="29" fillId="0" borderId="0" xfId="0" applyNumberFormat="1" applyFont="1"/>
    <xf numFmtId="165" fontId="25" fillId="0" borderId="3" xfId="0" applyNumberFormat="1" applyFont="1" applyBorder="1" applyAlignment="1" applyProtection="1">
      <alignment horizontal="right" vertical="center" wrapText="1"/>
    </xf>
    <xf numFmtId="49" fontId="12" fillId="0" borderId="6" xfId="0" applyNumberFormat="1" applyFont="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4" fontId="13" fillId="0" borderId="3"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165" fontId="14" fillId="0" borderId="3" xfId="0" applyNumberFormat="1" applyFont="1" applyFill="1" applyBorder="1" applyAlignment="1" applyProtection="1">
      <alignment horizontal="center" vertical="center" wrapText="1"/>
    </xf>
    <xf numFmtId="165" fontId="13" fillId="0" borderId="3" xfId="0" applyNumberFormat="1" applyFont="1" applyFill="1" applyBorder="1" applyAlignment="1" applyProtection="1">
      <alignment horizontal="center" vertical="center" wrapText="1"/>
    </xf>
    <xf numFmtId="4" fontId="13" fillId="0" borderId="3" xfId="0" applyNumberFormat="1" applyFont="1" applyFill="1" applyBorder="1" applyAlignment="1" applyProtection="1">
      <alignment horizontal="center" vertical="center"/>
    </xf>
    <xf numFmtId="4" fontId="13" fillId="0" borderId="0" xfId="0" applyNumberFormat="1" applyFont="1" applyFill="1" applyBorder="1" applyAlignment="1" applyProtection="1">
      <alignment horizontal="center" vertical="center"/>
    </xf>
    <xf numFmtId="4" fontId="13" fillId="0" borderId="0" xfId="0" applyNumberFormat="1" applyFont="1" applyFill="1" applyAlignment="1">
      <alignment horizontal="center"/>
    </xf>
    <xf numFmtId="0" fontId="14" fillId="0" borderId="0" xfId="0" applyFont="1" applyFill="1" applyAlignment="1">
      <alignment horizontal="center"/>
    </xf>
    <xf numFmtId="0" fontId="16" fillId="0" borderId="3" xfId="0" applyFont="1" applyBorder="1" applyAlignment="1" applyProtection="1">
      <alignment horizontal="center" vertical="center" wrapText="1"/>
    </xf>
    <xf numFmtId="49" fontId="9" fillId="2" borderId="3" xfId="0" applyNumberFormat="1" applyFont="1" applyFill="1" applyBorder="1" applyAlignment="1" applyProtection="1">
      <alignment horizontal="left" vertical="center" wrapText="1"/>
    </xf>
    <xf numFmtId="0" fontId="0" fillId="2" borderId="0" xfId="0" applyFill="1"/>
    <xf numFmtId="165" fontId="31" fillId="4" borderId="3" xfId="0" applyNumberFormat="1" applyFont="1" applyFill="1" applyBorder="1" applyAlignment="1" applyProtection="1">
      <alignment horizontal="right" vertical="center" wrapText="1"/>
    </xf>
    <xf numFmtId="165" fontId="25" fillId="4" borderId="3" xfId="0" applyNumberFormat="1" applyFont="1" applyFill="1" applyBorder="1" applyAlignment="1" applyProtection="1">
      <alignment horizontal="right" vertical="center" wrapText="1"/>
    </xf>
    <xf numFmtId="49" fontId="9" fillId="0" borderId="3" xfId="0" applyNumberFormat="1" applyFont="1" applyFill="1" applyBorder="1" applyAlignment="1" applyProtection="1">
      <alignment horizontal="center" vertical="center" wrapText="1"/>
    </xf>
    <xf numFmtId="165" fontId="9" fillId="4" borderId="3" xfId="0" applyNumberFormat="1" applyFont="1" applyFill="1" applyBorder="1" applyAlignment="1" applyProtection="1">
      <alignment horizontal="right" vertical="center" wrapText="1"/>
    </xf>
    <xf numFmtId="165" fontId="18" fillId="4" borderId="3" xfId="0" applyNumberFormat="1" applyFont="1" applyFill="1" applyBorder="1" applyAlignment="1" applyProtection="1">
      <alignment horizontal="right" vertical="center" wrapText="1"/>
    </xf>
    <xf numFmtId="165" fontId="19" fillId="4" borderId="3" xfId="0" applyNumberFormat="1" applyFont="1" applyFill="1" applyBorder="1" applyAlignment="1" applyProtection="1">
      <alignment horizontal="right" vertical="center" wrapText="1"/>
    </xf>
    <xf numFmtId="49" fontId="21" fillId="2" borderId="3" xfId="0" applyNumberFormat="1" applyFont="1" applyFill="1" applyBorder="1" applyAlignment="1" applyProtection="1">
      <alignment horizontal="left" vertical="center" wrapText="1"/>
    </xf>
    <xf numFmtId="49" fontId="21" fillId="0" borderId="3" xfId="0" applyNumberFormat="1" applyFont="1" applyFill="1" applyBorder="1" applyAlignment="1" applyProtection="1">
      <alignment horizontal="center" vertical="center" wrapText="1"/>
    </xf>
    <xf numFmtId="165" fontId="21" fillId="4" borderId="3" xfId="0" applyNumberFormat="1" applyFont="1" applyFill="1" applyBorder="1" applyAlignment="1" applyProtection="1">
      <alignment horizontal="right" vertical="center" wrapText="1"/>
    </xf>
    <xf numFmtId="165" fontId="23" fillId="4" borderId="3" xfId="0" applyNumberFormat="1" applyFont="1" applyFill="1" applyBorder="1" applyAlignment="1" applyProtection="1">
      <alignment horizontal="right" vertical="center" wrapText="1"/>
    </xf>
    <xf numFmtId="165" fontId="26" fillId="4" borderId="3" xfId="0" applyNumberFormat="1" applyFont="1" applyFill="1" applyBorder="1" applyAlignment="1" applyProtection="1">
      <alignment horizontal="right" vertical="center" wrapText="1"/>
    </xf>
    <xf numFmtId="2" fontId="19" fillId="0" borderId="3" xfId="0" applyNumberFormat="1" applyFont="1" applyBorder="1" applyAlignment="1" applyProtection="1">
      <alignment horizontal="left" vertical="center" wrapText="1"/>
    </xf>
    <xf numFmtId="49" fontId="7" fillId="2" borderId="3" xfId="0" applyNumberFormat="1" applyFont="1" applyFill="1" applyBorder="1" applyAlignment="1" applyProtection="1">
      <alignment horizontal="left" vertical="center" wrapText="1"/>
    </xf>
    <xf numFmtId="165" fontId="25" fillId="4" borderId="9" xfId="0" applyNumberFormat="1" applyFont="1" applyFill="1" applyBorder="1" applyAlignment="1" applyProtection="1">
      <alignment horizontal="right" vertical="center" wrapText="1"/>
    </xf>
    <xf numFmtId="165" fontId="19" fillId="2" borderId="9" xfId="0" applyNumberFormat="1" applyFont="1" applyFill="1" applyBorder="1" applyAlignment="1" applyProtection="1">
      <alignment horizontal="right" vertical="center" wrapText="1"/>
    </xf>
    <xf numFmtId="165" fontId="32" fillId="0" borderId="10" xfId="0" applyNumberFormat="1" applyFont="1" applyBorder="1" applyAlignment="1" applyProtection="1">
      <alignment horizontal="right" vertical="center" wrapText="1"/>
    </xf>
    <xf numFmtId="165" fontId="19" fillId="0" borderId="11" xfId="0" applyNumberFormat="1" applyFont="1" applyBorder="1" applyAlignment="1" applyProtection="1">
      <alignment horizontal="right" vertical="center" wrapText="1"/>
    </xf>
    <xf numFmtId="166" fontId="9" fillId="2" borderId="3" xfId="0"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left" vertical="center" wrapText="1"/>
    </xf>
    <xf numFmtId="0" fontId="0" fillId="0" borderId="0" xfId="0" applyFill="1"/>
    <xf numFmtId="49" fontId="34" fillId="0" borderId="3" xfId="0" applyNumberFormat="1" applyFont="1" applyBorder="1" applyAlignment="1" applyProtection="1">
      <alignment horizontal="left" vertical="center" wrapText="1"/>
    </xf>
    <xf numFmtId="49" fontId="35" fillId="0" borderId="3" xfId="0" applyNumberFormat="1" applyFont="1" applyBorder="1" applyAlignment="1" applyProtection="1">
      <alignment horizontal="left" vertical="center" wrapText="1"/>
    </xf>
    <xf numFmtId="166" fontId="35" fillId="0" borderId="3" xfId="0" applyNumberFormat="1" applyFont="1" applyBorder="1" applyAlignment="1" applyProtection="1">
      <alignment horizontal="left" vertical="center" wrapText="1"/>
    </xf>
    <xf numFmtId="166" fontId="7" fillId="2" borderId="3" xfId="0" applyNumberFormat="1" applyFont="1" applyFill="1" applyBorder="1" applyAlignment="1" applyProtection="1">
      <alignment horizontal="left" vertical="center" wrapText="1"/>
    </xf>
    <xf numFmtId="49" fontId="14" fillId="0" borderId="3" xfId="0" applyNumberFormat="1" applyFont="1" applyBorder="1" applyAlignment="1" applyProtection="1">
      <alignment horizontal="center" vertical="center" wrapText="1"/>
    </xf>
    <xf numFmtId="2" fontId="12" fillId="0" borderId="3" xfId="0" applyNumberFormat="1" applyFont="1" applyBorder="1" applyAlignment="1" applyProtection="1">
      <alignment horizontal="left" vertical="center" wrapText="1"/>
    </xf>
    <xf numFmtId="0" fontId="37" fillId="0" borderId="1" xfId="0" applyFont="1" applyBorder="1" applyAlignment="1" applyProtection="1"/>
    <xf numFmtId="0" fontId="38" fillId="0" borderId="0" xfId="0" applyFont="1" applyBorder="1" applyAlignment="1" applyProtection="1"/>
    <xf numFmtId="165" fontId="38" fillId="0" borderId="0" xfId="0" applyNumberFormat="1" applyFont="1" applyBorder="1" applyAlignment="1" applyProtection="1"/>
    <xf numFmtId="165" fontId="40" fillId="4" borderId="3" xfId="0" applyNumberFormat="1" applyFont="1" applyFill="1" applyBorder="1" applyAlignment="1" applyProtection="1">
      <alignment horizontal="right" vertical="center" wrapText="1"/>
    </xf>
    <xf numFmtId="165" fontId="41" fillId="4" borderId="3" xfId="0" applyNumberFormat="1" applyFont="1" applyFill="1" applyBorder="1" applyAlignment="1" applyProtection="1">
      <alignment horizontal="right" vertical="center" wrapText="1"/>
    </xf>
    <xf numFmtId="165" fontId="41" fillId="2" borderId="3" xfId="0" applyNumberFormat="1" applyFont="1" applyFill="1" applyBorder="1" applyAlignment="1" applyProtection="1">
      <alignment horizontal="right" vertical="center" wrapText="1"/>
    </xf>
    <xf numFmtId="165" fontId="42" fillId="0" borderId="3" xfId="0" applyNumberFormat="1" applyFont="1" applyBorder="1" applyAlignment="1" applyProtection="1">
      <alignment horizontal="right" vertical="center" wrapText="1"/>
    </xf>
    <xf numFmtId="165" fontId="41" fillId="0" borderId="3" xfId="0" applyNumberFormat="1" applyFont="1" applyBorder="1" applyAlignment="1" applyProtection="1">
      <alignment horizontal="right" vertical="center" wrapText="1"/>
    </xf>
    <xf numFmtId="165" fontId="41" fillId="0" borderId="3" xfId="0" applyNumberFormat="1" applyFont="1" applyFill="1" applyBorder="1" applyAlignment="1" applyProtection="1">
      <alignment horizontal="right" vertical="center" wrapText="1"/>
    </xf>
    <xf numFmtId="165" fontId="42" fillId="2" borderId="3" xfId="0" applyNumberFormat="1" applyFont="1" applyFill="1" applyBorder="1" applyAlignment="1" applyProtection="1">
      <alignment horizontal="right" vertical="center" wrapText="1"/>
    </xf>
    <xf numFmtId="165" fontId="40" fillId="4" borderId="9" xfId="0" applyNumberFormat="1" applyFont="1" applyFill="1" applyBorder="1" applyAlignment="1" applyProtection="1">
      <alignment horizontal="right" vertical="center" wrapText="1"/>
    </xf>
    <xf numFmtId="165" fontId="40" fillId="3" borderId="3" xfId="0" applyNumberFormat="1" applyFont="1" applyFill="1" applyBorder="1" applyAlignment="1" applyProtection="1">
      <alignment horizontal="right" vertical="center" wrapText="1"/>
    </xf>
    <xf numFmtId="0" fontId="43" fillId="0" borderId="0" xfId="0" applyFont="1"/>
    <xf numFmtId="49" fontId="44" fillId="2" borderId="3" xfId="0" applyNumberFormat="1" applyFont="1" applyFill="1" applyBorder="1" applyAlignment="1" applyProtection="1">
      <alignment horizontal="left" vertical="center" wrapText="1"/>
    </xf>
    <xf numFmtId="49" fontId="44" fillId="2" borderId="3" xfId="0" applyNumberFormat="1" applyFont="1" applyFill="1" applyBorder="1" applyAlignment="1" applyProtection="1">
      <alignment horizontal="center" vertical="center" wrapText="1"/>
    </xf>
    <xf numFmtId="166" fontId="9" fillId="0" borderId="3" xfId="0" applyNumberFormat="1" applyFont="1" applyFill="1" applyBorder="1" applyAlignment="1" applyProtection="1">
      <alignment horizontal="left" vertical="center" wrapText="1"/>
    </xf>
    <xf numFmtId="164" fontId="12" fillId="0" borderId="0" xfId="1" applyFont="1" applyFill="1"/>
    <xf numFmtId="164" fontId="12" fillId="0" borderId="0" xfId="1" applyFont="1"/>
    <xf numFmtId="164" fontId="11" fillId="0" borderId="0" xfId="1" applyFont="1"/>
    <xf numFmtId="164" fontId="17" fillId="0" borderId="0" xfId="1" applyFont="1"/>
    <xf numFmtId="164" fontId="14" fillId="0" borderId="0" xfId="1" applyFont="1"/>
    <xf numFmtId="9" fontId="12" fillId="0" borderId="0" xfId="4" applyFont="1"/>
    <xf numFmtId="169" fontId="12" fillId="0" borderId="0" xfId="1" applyNumberFormat="1" applyFont="1" applyFill="1"/>
    <xf numFmtId="169" fontId="12" fillId="0" borderId="0" xfId="1" applyNumberFormat="1" applyFont="1"/>
    <xf numFmtId="169" fontId="11" fillId="0" borderId="0" xfId="1" applyNumberFormat="1" applyFont="1"/>
    <xf numFmtId="169" fontId="17" fillId="0" borderId="0" xfId="1" applyNumberFormat="1" applyFont="1"/>
    <xf numFmtId="169" fontId="14" fillId="0" borderId="0" xfId="1" applyNumberFormat="1" applyFont="1"/>
    <xf numFmtId="9" fontId="12" fillId="0" borderId="0" xfId="1" applyNumberFormat="1" applyFont="1"/>
    <xf numFmtId="9" fontId="17" fillId="0" borderId="0" xfId="4" applyFont="1"/>
    <xf numFmtId="4" fontId="12" fillId="0" borderId="0" xfId="0" applyNumberFormat="1" applyFont="1"/>
    <xf numFmtId="171" fontId="17" fillId="0" borderId="0" xfId="0" applyNumberFormat="1" applyFont="1" applyFill="1" applyAlignment="1">
      <alignment horizontal="right"/>
    </xf>
    <xf numFmtId="171" fontId="16" fillId="0" borderId="3" xfId="0" applyNumberFormat="1" applyFont="1" applyFill="1" applyBorder="1" applyAlignment="1" applyProtection="1">
      <alignment horizontal="center" vertical="center" wrapText="1"/>
    </xf>
    <xf numFmtId="171" fontId="13" fillId="0" borderId="3" xfId="0" applyNumberFormat="1" applyFont="1" applyFill="1" applyBorder="1" applyAlignment="1" applyProtection="1">
      <alignment horizontal="center" vertical="center" wrapText="1"/>
    </xf>
    <xf numFmtId="171" fontId="17" fillId="0" borderId="3" xfId="0" applyNumberFormat="1" applyFont="1" applyFill="1" applyBorder="1" applyAlignment="1" applyProtection="1">
      <alignment horizontal="center" vertical="center" wrapText="1"/>
    </xf>
    <xf numFmtId="171" fontId="14" fillId="0" borderId="3" xfId="0" applyNumberFormat="1" applyFont="1" applyFill="1" applyBorder="1" applyAlignment="1" applyProtection="1">
      <alignment horizontal="center" vertical="center" wrapText="1"/>
    </xf>
    <xf numFmtId="171" fontId="13" fillId="0" borderId="3" xfId="0" applyNumberFormat="1" applyFont="1" applyFill="1" applyBorder="1"/>
    <xf numFmtId="171" fontId="14" fillId="0" borderId="3" xfId="0" applyNumberFormat="1" applyFont="1" applyFill="1" applyBorder="1"/>
    <xf numFmtId="171" fontId="17" fillId="0" borderId="3" xfId="0" applyNumberFormat="1" applyFont="1" applyFill="1" applyBorder="1"/>
    <xf numFmtId="171" fontId="16" fillId="0" borderId="3" xfId="0" applyNumberFormat="1" applyFont="1" applyFill="1" applyBorder="1" applyAlignment="1" applyProtection="1">
      <alignment horizontal="center" vertical="center"/>
    </xf>
    <xf numFmtId="171" fontId="13" fillId="0" borderId="0" xfId="0" applyNumberFormat="1" applyFont="1" applyFill="1" applyBorder="1" applyAlignment="1" applyProtection="1">
      <alignment horizontal="center" vertical="center"/>
    </xf>
    <xf numFmtId="171" fontId="13" fillId="0" borderId="0" xfId="0" applyNumberFormat="1" applyFont="1" applyFill="1" applyAlignment="1">
      <alignment horizontal="center"/>
    </xf>
    <xf numFmtId="171" fontId="14" fillId="0" borderId="0" xfId="0" applyNumberFormat="1" applyFont="1" applyFill="1" applyAlignment="1">
      <alignment horizontal="center"/>
    </xf>
    <xf numFmtId="171" fontId="13" fillId="0" borderId="0" xfId="0" applyNumberFormat="1" applyFont="1" applyFill="1"/>
    <xf numFmtId="171" fontId="14" fillId="0" borderId="0" xfId="0" applyNumberFormat="1" applyFont="1" applyFill="1"/>
    <xf numFmtId="170" fontId="12" fillId="0" borderId="0" xfId="0" applyNumberFormat="1" applyFont="1"/>
    <xf numFmtId="171" fontId="16" fillId="0" borderId="0" xfId="0" applyNumberFormat="1" applyFont="1" applyFill="1" applyAlignment="1">
      <alignment horizontal="center"/>
    </xf>
    <xf numFmtId="49" fontId="35" fillId="0" borderId="3" xfId="0" applyNumberFormat="1" applyFont="1" applyBorder="1" applyAlignment="1" applyProtection="1">
      <alignment horizontal="center" vertical="center" wrapText="1"/>
    </xf>
    <xf numFmtId="49" fontId="7" fillId="0" borderId="0" xfId="0" applyNumberFormat="1" applyFont="1" applyBorder="1" applyAlignment="1" applyProtection="1">
      <alignment horizontal="left" wrapText="1"/>
    </xf>
    <xf numFmtId="0" fontId="3" fillId="0" borderId="2" xfId="0" applyFont="1" applyBorder="1" applyAlignment="1" applyProtection="1">
      <alignment horizontal="left"/>
    </xf>
    <xf numFmtId="0" fontId="6" fillId="0" borderId="0" xfId="0" applyFont="1" applyBorder="1" applyAlignment="1" applyProtection="1">
      <alignment horizontal="center"/>
    </xf>
    <xf numFmtId="0" fontId="8" fillId="0" borderId="3" xfId="0" applyFont="1" applyBorder="1" applyAlignment="1" applyProtection="1">
      <alignment horizontal="center" vertical="center" wrapText="1"/>
    </xf>
    <xf numFmtId="0" fontId="39" fillId="0" borderId="3" xfId="0" applyFont="1" applyBorder="1" applyAlignment="1" applyProtection="1">
      <alignment horizontal="center" vertical="center" wrapText="1"/>
    </xf>
    <xf numFmtId="0" fontId="30" fillId="0" borderId="1" xfId="0" applyFont="1" applyFill="1" applyBorder="1" applyAlignment="1" applyProtection="1">
      <alignment horizontal="center" vertical="center"/>
    </xf>
    <xf numFmtId="0" fontId="16" fillId="0" borderId="3" xfId="0" applyFont="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71" fontId="16" fillId="0" borderId="3" xfId="0" applyNumberFormat="1" applyFont="1" applyFill="1" applyBorder="1" applyAlignment="1" applyProtection="1">
      <alignment horizontal="center" vertical="center" wrapText="1"/>
    </xf>
    <xf numFmtId="171" fontId="17" fillId="0" borderId="4" xfId="0" applyNumberFormat="1" applyFont="1" applyFill="1" applyBorder="1" applyAlignment="1" applyProtection="1">
      <alignment horizontal="center" vertical="center" wrapText="1"/>
    </xf>
    <xf numFmtId="171" fontId="17" fillId="0" borderId="5" xfId="0" applyNumberFormat="1" applyFont="1" applyFill="1" applyBorder="1" applyAlignment="1" applyProtection="1">
      <alignment horizontal="center" vertical="center" wrapText="1"/>
    </xf>
    <xf numFmtId="171" fontId="17" fillId="0" borderId="6" xfId="0" applyNumberFormat="1" applyFont="1" applyFill="1" applyBorder="1" applyAlignment="1" applyProtection="1">
      <alignment horizontal="center" vertical="center" wrapText="1"/>
    </xf>
    <xf numFmtId="167" fontId="12" fillId="0" borderId="4" xfId="0" applyNumberFormat="1" applyFont="1" applyBorder="1" applyAlignment="1" applyProtection="1">
      <alignment horizontal="center" vertical="center" wrapText="1"/>
    </xf>
    <xf numFmtId="167" fontId="11" fillId="0" borderId="5" xfId="0" applyNumberFormat="1" applyFont="1" applyBorder="1" applyAlignment="1" applyProtection="1">
      <alignment horizontal="center" vertical="center" wrapText="1"/>
    </xf>
    <xf numFmtId="167" fontId="11" fillId="0" borderId="6"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49" fontId="12" fillId="0" borderId="5" xfId="0" applyNumberFormat="1" applyFont="1" applyBorder="1" applyAlignment="1" applyProtection="1">
      <alignment horizontal="center" vertical="center" wrapText="1"/>
    </xf>
    <xf numFmtId="49" fontId="12" fillId="0" borderId="6" xfId="0" applyNumberFormat="1" applyFont="1" applyBorder="1" applyAlignment="1" applyProtection="1">
      <alignment horizontal="center" vertical="center" wrapText="1"/>
    </xf>
    <xf numFmtId="166" fontId="12" fillId="0" borderId="4" xfId="0" applyNumberFormat="1" applyFont="1" applyBorder="1" applyAlignment="1" applyProtection="1">
      <alignment horizontal="left" vertical="center" wrapText="1"/>
    </xf>
    <xf numFmtId="166" fontId="12" fillId="0" borderId="5" xfId="0" applyNumberFormat="1" applyFont="1" applyBorder="1" applyAlignment="1" applyProtection="1">
      <alignment horizontal="left" vertical="center" wrapText="1"/>
    </xf>
    <xf numFmtId="166" fontId="12" fillId="0" borderId="6" xfId="0" applyNumberFormat="1" applyFont="1" applyBorder="1" applyAlignment="1" applyProtection="1">
      <alignment horizontal="left" vertical="center" wrapText="1"/>
    </xf>
    <xf numFmtId="4" fontId="17" fillId="0" borderId="4" xfId="0" applyNumberFormat="1" applyFont="1" applyFill="1" applyBorder="1" applyAlignment="1" applyProtection="1">
      <alignment horizontal="center" vertical="center" wrapText="1"/>
    </xf>
    <xf numFmtId="4" fontId="17" fillId="0" borderId="5" xfId="0" applyNumberFormat="1" applyFont="1" applyFill="1" applyBorder="1" applyAlignment="1" applyProtection="1">
      <alignment horizontal="center" vertical="center" wrapText="1"/>
    </xf>
    <xf numFmtId="4" fontId="17" fillId="0" borderId="6" xfId="0" applyNumberFormat="1" applyFont="1" applyFill="1" applyBorder="1" applyAlignment="1" applyProtection="1">
      <alignment horizontal="center" vertical="center" wrapText="1"/>
    </xf>
    <xf numFmtId="2" fontId="12" fillId="0" borderId="4" xfId="0" applyNumberFormat="1" applyFont="1" applyBorder="1" applyAlignment="1" applyProtection="1">
      <alignment horizontal="left" vertical="center" wrapText="1"/>
    </xf>
    <xf numFmtId="2" fontId="12" fillId="0" borderId="5" xfId="0" applyNumberFormat="1" applyFont="1" applyBorder="1" applyAlignment="1" applyProtection="1">
      <alignment horizontal="left" vertical="center" wrapText="1"/>
    </xf>
    <xf numFmtId="2" fontId="12" fillId="0" borderId="6" xfId="0" applyNumberFormat="1" applyFont="1" applyBorder="1" applyAlignment="1" applyProtection="1">
      <alignment horizontal="left" vertical="center" wrapText="1"/>
    </xf>
    <xf numFmtId="168" fontId="12" fillId="0" borderId="4" xfId="0" applyNumberFormat="1" applyFont="1" applyBorder="1" applyAlignment="1" applyProtection="1">
      <alignment horizontal="center" vertical="center" wrapText="1"/>
    </xf>
    <xf numFmtId="168" fontId="12" fillId="0" borderId="5" xfId="0" applyNumberFormat="1" applyFont="1" applyBorder="1" applyAlignment="1" applyProtection="1">
      <alignment horizontal="center" vertical="center" wrapText="1"/>
    </xf>
    <xf numFmtId="168" fontId="12" fillId="0" borderId="6" xfId="0" applyNumberFormat="1" applyFont="1" applyBorder="1" applyAlignment="1" applyProtection="1">
      <alignment horizontal="center" vertical="center" wrapText="1"/>
    </xf>
    <xf numFmtId="166" fontId="12" fillId="0" borderId="4" xfId="0" applyNumberFormat="1" applyFont="1" applyBorder="1" applyAlignment="1" applyProtection="1">
      <alignment horizontal="center" vertical="center" wrapText="1"/>
    </xf>
    <xf numFmtId="166" fontId="12" fillId="0" borderId="5" xfId="0" applyNumberFormat="1" applyFont="1" applyBorder="1" applyAlignment="1" applyProtection="1">
      <alignment horizontal="center" vertical="center" wrapText="1"/>
    </xf>
    <xf numFmtId="166" fontId="12" fillId="0" borderId="6" xfId="0" applyNumberFormat="1" applyFont="1" applyBorder="1" applyAlignment="1" applyProtection="1">
      <alignment horizontal="center" vertical="center" wrapText="1"/>
    </xf>
    <xf numFmtId="49" fontId="17" fillId="0" borderId="4" xfId="0" applyNumberFormat="1" applyFont="1" applyBorder="1" applyAlignment="1" applyProtection="1">
      <alignment horizontal="center" vertical="center" wrapText="1"/>
    </xf>
    <xf numFmtId="49" fontId="17" fillId="0" borderId="5" xfId="0" applyNumberFormat="1" applyFont="1" applyBorder="1" applyAlignment="1" applyProtection="1">
      <alignment horizontal="center" vertical="center" wrapText="1"/>
    </xf>
    <xf numFmtId="49" fontId="17" fillId="0" borderId="6"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left" vertical="center" wrapText="1"/>
    </xf>
    <xf numFmtId="49" fontId="12" fillId="0" borderId="5"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171" fontId="14" fillId="0" borderId="4" xfId="0" applyNumberFormat="1" applyFont="1" applyFill="1" applyBorder="1" applyAlignment="1" applyProtection="1">
      <alignment horizontal="center" vertical="center" wrapText="1"/>
    </xf>
    <xf numFmtId="171" fontId="14" fillId="0" borderId="5" xfId="0" applyNumberFormat="1" applyFont="1" applyFill="1" applyBorder="1" applyAlignment="1" applyProtection="1">
      <alignment horizontal="center" vertical="center" wrapText="1"/>
    </xf>
    <xf numFmtId="171" fontId="14" fillId="0" borderId="6" xfId="0" applyNumberFormat="1" applyFont="1" applyFill="1" applyBorder="1" applyAlignment="1" applyProtection="1">
      <alignment horizontal="center" vertical="center" wrapText="1"/>
    </xf>
    <xf numFmtId="0" fontId="12" fillId="0" borderId="0" xfId="0" applyFont="1" applyBorder="1" applyAlignment="1">
      <alignment horizontal="left" wrapText="1"/>
    </xf>
    <xf numFmtId="4" fontId="14" fillId="0" borderId="4" xfId="0" applyNumberFormat="1" applyFont="1" applyFill="1" applyBorder="1" applyAlignment="1" applyProtection="1">
      <alignment horizontal="center" vertical="center" wrapText="1"/>
    </xf>
    <xf numFmtId="4" fontId="14" fillId="0" borderId="6" xfId="0" applyNumberFormat="1" applyFont="1" applyFill="1" applyBorder="1" applyAlignment="1" applyProtection="1">
      <alignment horizontal="center" vertical="center" wrapText="1"/>
    </xf>
    <xf numFmtId="0" fontId="12" fillId="0" borderId="0" xfId="0" applyFont="1" applyBorder="1" applyAlignment="1">
      <alignment horizontal="center" wrapText="1"/>
    </xf>
    <xf numFmtId="0" fontId="17" fillId="0" borderId="2" xfId="0" applyFont="1" applyBorder="1" applyAlignment="1">
      <alignment horizontal="left" wrapText="1"/>
    </xf>
  </cellXfs>
  <cellStyles count="5">
    <cellStyle name="xl34" xfId="2"/>
    <cellStyle name="xl52" xfId="3"/>
    <cellStyle name="Обычный" xfId="0" builtinId="0"/>
    <cellStyle name="Процентный" xfId="4" builtinId="5"/>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3"/>
  <sheetViews>
    <sheetView showGridLines="0" workbookViewId="0">
      <pane ySplit="12" topLeftCell="A379" activePane="bottomLeft" state="frozen"/>
      <selection pane="bottomLeft" activeCell="A250" sqref="A250"/>
    </sheetView>
  </sheetViews>
  <sheetFormatPr defaultRowHeight="12.75" customHeight="1" x14ac:dyDescent="0.2"/>
  <cols>
    <col min="1" max="1" width="44.7109375" customWidth="1"/>
    <col min="2" max="2" width="22.140625" customWidth="1"/>
    <col min="3" max="4" width="9.85546875" customWidth="1"/>
    <col min="5" max="7" width="16.7109375" customWidth="1"/>
    <col min="8" max="8" width="16.7109375" style="149" customWidth="1"/>
    <col min="9" max="10" width="16.7109375" customWidth="1"/>
    <col min="11" max="11" width="10.85546875" bestFit="1" customWidth="1"/>
  </cols>
  <sheetData>
    <row r="1" spans="1:14" ht="12.75" customHeight="1" x14ac:dyDescent="0.2">
      <c r="A1" s="1" t="s">
        <v>2</v>
      </c>
      <c r="B1" s="1"/>
      <c r="C1" s="1"/>
      <c r="D1" s="1"/>
      <c r="E1" s="1"/>
      <c r="F1" s="1"/>
      <c r="G1" s="1"/>
      <c r="H1" s="137"/>
      <c r="I1" s="2"/>
      <c r="J1" s="3"/>
    </row>
    <row r="2" spans="1:14" ht="12.75" customHeight="1" x14ac:dyDescent="0.2">
      <c r="A2" s="185" t="s">
        <v>0</v>
      </c>
      <c r="B2" s="185"/>
      <c r="C2" s="185"/>
      <c r="D2" s="185"/>
      <c r="E2" s="185"/>
      <c r="F2" s="185"/>
      <c r="G2" s="185"/>
      <c r="H2" s="185"/>
      <c r="I2" s="4" t="s">
        <v>3</v>
      </c>
      <c r="J2" s="5" t="s">
        <v>718</v>
      </c>
    </row>
    <row r="3" spans="1:14" ht="12.75" customHeight="1" x14ac:dyDescent="0.2">
      <c r="A3" s="6"/>
      <c r="B3" s="7"/>
      <c r="C3" s="7"/>
      <c r="D3" s="7"/>
      <c r="E3" s="7"/>
      <c r="F3" s="7"/>
      <c r="G3" s="7"/>
      <c r="H3" s="138"/>
      <c r="I3" s="8"/>
      <c r="J3" s="6"/>
    </row>
    <row r="4" spans="1:14" ht="16.5" customHeight="1" x14ac:dyDescent="0.25">
      <c r="A4" s="186" t="s">
        <v>1</v>
      </c>
      <c r="B4" s="186"/>
      <c r="C4" s="186"/>
      <c r="D4" s="186"/>
      <c r="E4" s="186"/>
      <c r="F4" s="186"/>
      <c r="G4" s="186"/>
      <c r="H4" s="186"/>
      <c r="I4" s="186"/>
      <c r="J4" s="186"/>
    </row>
    <row r="5" spans="1:14" ht="18" customHeight="1" x14ac:dyDescent="0.25">
      <c r="A5" s="186" t="s">
        <v>719</v>
      </c>
      <c r="B5" s="186"/>
      <c r="C5" s="186"/>
      <c r="D5" s="186"/>
      <c r="E5" s="186"/>
      <c r="F5" s="186"/>
      <c r="G5" s="186"/>
      <c r="H5" s="186"/>
      <c r="I5" s="186"/>
      <c r="J5" s="186"/>
    </row>
    <row r="6" spans="1:14" ht="12.75" customHeight="1" x14ac:dyDescent="0.2">
      <c r="A6" s="6"/>
      <c r="B6" s="7"/>
      <c r="C6" s="7"/>
      <c r="D6" s="7"/>
      <c r="E6" s="7"/>
      <c r="F6" s="7"/>
      <c r="G6" s="7"/>
      <c r="H6" s="138"/>
      <c r="I6" s="8"/>
      <c r="J6" s="6"/>
    </row>
    <row r="7" spans="1:14" ht="12.75" customHeight="1" x14ac:dyDescent="0.2">
      <c r="A7" s="9" t="s">
        <v>4</v>
      </c>
      <c r="B7" s="184" t="s">
        <v>5</v>
      </c>
      <c r="C7" s="184"/>
      <c r="D7" s="184"/>
      <c r="E7" s="184"/>
      <c r="F7" s="184"/>
      <c r="G7" s="184"/>
      <c r="H7" s="184"/>
      <c r="I7" s="184"/>
      <c r="J7" s="184"/>
    </row>
    <row r="8" spans="1:14" ht="12.75" customHeight="1" x14ac:dyDescent="0.2">
      <c r="A8" s="9" t="s">
        <v>720</v>
      </c>
      <c r="B8" s="184" t="s">
        <v>721</v>
      </c>
      <c r="C8" s="184"/>
      <c r="D8" s="184"/>
      <c r="E8" s="184"/>
      <c r="F8" s="184"/>
      <c r="G8" s="184"/>
      <c r="H8" s="184"/>
      <c r="I8" s="184"/>
      <c r="J8" s="184"/>
    </row>
    <row r="9" spans="1:14" ht="39.75" customHeight="1" x14ac:dyDescent="0.2">
      <c r="A9" s="9" t="s">
        <v>722</v>
      </c>
      <c r="B9" s="184" t="s">
        <v>723</v>
      </c>
      <c r="C9" s="184"/>
      <c r="D9" s="184"/>
      <c r="E9" s="184"/>
      <c r="F9" s="184"/>
      <c r="G9" s="184"/>
      <c r="H9" s="184"/>
      <c r="I9" s="184"/>
      <c r="J9" s="184"/>
    </row>
    <row r="10" spans="1:14" ht="18.2" customHeight="1" x14ac:dyDescent="0.2">
      <c r="A10" s="6"/>
      <c r="B10" s="7"/>
      <c r="C10" s="7"/>
      <c r="D10" s="7"/>
      <c r="E10" s="7"/>
      <c r="F10" s="7"/>
      <c r="G10" s="59">
        <f>G15+G48+G58+G121</f>
        <v>30833.391</v>
      </c>
      <c r="H10" s="139">
        <f>G13-G10</f>
        <v>6409.0920000000006</v>
      </c>
      <c r="I10" s="8" t="s">
        <v>528</v>
      </c>
      <c r="J10" s="6"/>
    </row>
    <row r="11" spans="1:14" ht="33.75" x14ac:dyDescent="0.2">
      <c r="A11" s="187" t="s">
        <v>6</v>
      </c>
      <c r="B11" s="187" t="s">
        <v>7</v>
      </c>
      <c r="C11" s="187" t="s">
        <v>8</v>
      </c>
      <c r="D11" s="187" t="s">
        <v>9</v>
      </c>
      <c r="E11" s="187" t="s">
        <v>10</v>
      </c>
      <c r="F11" s="187" t="s">
        <v>11</v>
      </c>
      <c r="G11" s="187" t="s">
        <v>724</v>
      </c>
      <c r="H11" s="188" t="s">
        <v>725</v>
      </c>
      <c r="I11" s="10" t="s">
        <v>12</v>
      </c>
      <c r="J11" s="10" t="s">
        <v>14</v>
      </c>
    </row>
    <row r="12" spans="1:14" x14ac:dyDescent="0.2">
      <c r="A12" s="187"/>
      <c r="B12" s="187"/>
      <c r="C12" s="187"/>
      <c r="D12" s="187"/>
      <c r="E12" s="187"/>
      <c r="F12" s="187"/>
      <c r="G12" s="187"/>
      <c r="H12" s="188"/>
      <c r="I12" s="10" t="s">
        <v>13</v>
      </c>
      <c r="J12" s="10" t="s">
        <v>13</v>
      </c>
    </row>
    <row r="13" spans="1:14" s="66" customFormat="1" ht="12" x14ac:dyDescent="0.2">
      <c r="A13" s="60" t="s">
        <v>15</v>
      </c>
      <c r="B13" s="61" t="s">
        <v>16</v>
      </c>
      <c r="C13" s="61"/>
      <c r="D13" s="61"/>
      <c r="E13" s="62">
        <v>512335.54800000001</v>
      </c>
      <c r="F13" s="63">
        <v>523467.07199999999</v>
      </c>
      <c r="G13" s="111">
        <v>37242.483</v>
      </c>
      <c r="H13" s="140">
        <v>375828.5</v>
      </c>
      <c r="I13" s="112">
        <v>73.355999999999995</v>
      </c>
      <c r="J13" s="64">
        <v>71.796000000000006</v>
      </c>
      <c r="K13" s="62"/>
      <c r="L13" s="62"/>
      <c r="M13" s="65"/>
      <c r="N13" s="65"/>
    </row>
    <row r="14" spans="1:14" x14ac:dyDescent="0.2">
      <c r="A14" s="11" t="s">
        <v>17</v>
      </c>
      <c r="B14" s="113" t="s">
        <v>18</v>
      </c>
      <c r="C14" s="12"/>
      <c r="D14" s="12"/>
      <c r="E14" s="13">
        <v>366573.7</v>
      </c>
      <c r="F14" s="67">
        <v>372485.6</v>
      </c>
      <c r="G14" s="114">
        <v>28386.471000000001</v>
      </c>
      <c r="H14" s="141">
        <v>268620.864</v>
      </c>
      <c r="I14" s="115">
        <v>73.278999999999996</v>
      </c>
      <c r="J14" s="45">
        <v>72.116</v>
      </c>
      <c r="K14" s="13"/>
      <c r="L14" s="13"/>
      <c r="M14" s="69"/>
    </row>
    <row r="15" spans="1:14" s="66" customFormat="1" ht="24" customHeight="1" x14ac:dyDescent="0.2">
      <c r="A15" s="60" t="s">
        <v>19</v>
      </c>
      <c r="B15" s="61" t="s">
        <v>20</v>
      </c>
      <c r="C15" s="61"/>
      <c r="D15" s="61"/>
      <c r="E15" s="62">
        <v>366573.7</v>
      </c>
      <c r="F15" s="63">
        <v>372485.6</v>
      </c>
      <c r="G15" s="116">
        <v>28386.471000000001</v>
      </c>
      <c r="H15" s="140">
        <v>268620.864</v>
      </c>
      <c r="I15" s="112">
        <v>73.278999999999996</v>
      </c>
      <c r="J15" s="64">
        <v>72.116</v>
      </c>
      <c r="K15" s="62"/>
      <c r="L15" s="62"/>
    </row>
    <row r="16" spans="1:14" s="110" customFormat="1" ht="67.5" x14ac:dyDescent="0.2">
      <c r="A16" s="109" t="s">
        <v>529</v>
      </c>
      <c r="B16" s="19" t="s">
        <v>21</v>
      </c>
      <c r="C16" s="19"/>
      <c r="D16" s="19"/>
      <c r="E16" s="45">
        <v>358627</v>
      </c>
      <c r="F16" s="45">
        <v>362075.3</v>
      </c>
      <c r="G16" s="45">
        <v>27757.612000000001</v>
      </c>
      <c r="H16" s="142">
        <v>260634.67300000001</v>
      </c>
      <c r="I16" s="45">
        <f>H16+H26+H34+H44</f>
        <v>268620.86499999999</v>
      </c>
      <c r="J16" s="45">
        <v>71.983999999999995</v>
      </c>
    </row>
    <row r="17" spans="1:10" ht="67.5" x14ac:dyDescent="0.2">
      <c r="A17" s="15" t="s">
        <v>529</v>
      </c>
      <c r="B17" s="16" t="s">
        <v>22</v>
      </c>
      <c r="C17" s="16" t="s">
        <v>23</v>
      </c>
      <c r="D17" s="16" t="s">
        <v>24</v>
      </c>
      <c r="E17" s="17">
        <v>358627</v>
      </c>
      <c r="F17" s="17">
        <v>362075.3</v>
      </c>
      <c r="G17" s="17"/>
      <c r="H17" s="143"/>
      <c r="I17" s="17"/>
      <c r="J17" s="17"/>
    </row>
    <row r="18" spans="1:10" ht="101.25" x14ac:dyDescent="0.2">
      <c r="A18" s="14" t="s">
        <v>25</v>
      </c>
      <c r="B18" s="12" t="s">
        <v>26</v>
      </c>
      <c r="C18" s="12"/>
      <c r="D18" s="12"/>
      <c r="E18" s="13"/>
      <c r="F18" s="13"/>
      <c r="G18" s="13">
        <v>28399.683000000001</v>
      </c>
      <c r="H18" s="144">
        <v>258494.166</v>
      </c>
      <c r="I18" s="13"/>
      <c r="J18" s="13"/>
    </row>
    <row r="19" spans="1:10" ht="90" x14ac:dyDescent="0.2">
      <c r="A19" s="18" t="s">
        <v>25</v>
      </c>
      <c r="B19" s="16" t="s">
        <v>27</v>
      </c>
      <c r="C19" s="16" t="s">
        <v>23</v>
      </c>
      <c r="D19" s="16" t="s">
        <v>24</v>
      </c>
      <c r="E19" s="17"/>
      <c r="F19" s="17"/>
      <c r="G19" s="17">
        <v>28399.683000000001</v>
      </c>
      <c r="H19" s="143">
        <v>258494.166</v>
      </c>
      <c r="I19" s="17"/>
      <c r="J19" s="17"/>
    </row>
    <row r="20" spans="1:10" ht="78.75" x14ac:dyDescent="0.2">
      <c r="A20" s="14" t="s">
        <v>28</v>
      </c>
      <c r="B20" s="12" t="s">
        <v>29</v>
      </c>
      <c r="C20" s="12"/>
      <c r="D20" s="12"/>
      <c r="E20" s="13"/>
      <c r="F20" s="13"/>
      <c r="G20" s="13">
        <v>-246.37100000000001</v>
      </c>
      <c r="H20" s="144">
        <v>550.93299999999999</v>
      </c>
      <c r="I20" s="13"/>
      <c r="J20" s="13"/>
    </row>
    <row r="21" spans="1:10" ht="67.5" x14ac:dyDescent="0.2">
      <c r="A21" s="18" t="s">
        <v>28</v>
      </c>
      <c r="B21" s="16" t="s">
        <v>30</v>
      </c>
      <c r="C21" s="16" t="s">
        <v>23</v>
      </c>
      <c r="D21" s="16" t="s">
        <v>24</v>
      </c>
      <c r="E21" s="17"/>
      <c r="F21" s="17"/>
      <c r="G21" s="17">
        <v>-246.37100000000001</v>
      </c>
      <c r="H21" s="143">
        <v>550.93299999999999</v>
      </c>
      <c r="I21" s="17"/>
      <c r="J21" s="17"/>
    </row>
    <row r="22" spans="1:10" ht="90" x14ac:dyDescent="0.2">
      <c r="A22" s="14" t="s">
        <v>31</v>
      </c>
      <c r="B22" s="12" t="s">
        <v>32</v>
      </c>
      <c r="C22" s="12"/>
      <c r="D22" s="12"/>
      <c r="E22" s="13"/>
      <c r="F22" s="13"/>
      <c r="G22" s="13">
        <v>-394.70400000000001</v>
      </c>
      <c r="H22" s="144">
        <v>1585.9929999999999</v>
      </c>
      <c r="I22" s="13"/>
      <c r="J22" s="13"/>
    </row>
    <row r="23" spans="1:10" ht="90" x14ac:dyDescent="0.2">
      <c r="A23" s="18" t="s">
        <v>31</v>
      </c>
      <c r="B23" s="16" t="s">
        <v>33</v>
      </c>
      <c r="C23" s="16" t="s">
        <v>23</v>
      </c>
      <c r="D23" s="16" t="s">
        <v>24</v>
      </c>
      <c r="E23" s="17"/>
      <c r="F23" s="17"/>
      <c r="G23" s="17">
        <v>-394.70400000000001</v>
      </c>
      <c r="H23" s="143">
        <v>1585.9929999999999</v>
      </c>
      <c r="I23" s="17"/>
      <c r="J23" s="17"/>
    </row>
    <row r="24" spans="1:10" ht="78.75" x14ac:dyDescent="0.2">
      <c r="A24" s="14" t="s">
        <v>34</v>
      </c>
      <c r="B24" s="12" t="s">
        <v>35</v>
      </c>
      <c r="C24" s="12"/>
      <c r="D24" s="12"/>
      <c r="E24" s="13"/>
      <c r="F24" s="13"/>
      <c r="G24" s="13">
        <v>-0.997</v>
      </c>
      <c r="H24" s="144">
        <v>3.581</v>
      </c>
      <c r="I24" s="13"/>
      <c r="J24" s="13"/>
    </row>
    <row r="25" spans="1:10" ht="67.5" x14ac:dyDescent="0.2">
      <c r="A25" s="18" t="s">
        <v>34</v>
      </c>
      <c r="B25" s="16" t="s">
        <v>36</v>
      </c>
      <c r="C25" s="16" t="s">
        <v>23</v>
      </c>
      <c r="D25" s="16" t="s">
        <v>24</v>
      </c>
      <c r="E25" s="17"/>
      <c r="F25" s="17"/>
      <c r="G25" s="17">
        <v>-0.997</v>
      </c>
      <c r="H25" s="143">
        <v>3.581</v>
      </c>
      <c r="I25" s="17"/>
      <c r="J25" s="17"/>
    </row>
    <row r="26" spans="1:10" s="110" customFormat="1" ht="101.25" x14ac:dyDescent="0.2">
      <c r="A26" s="128" t="s">
        <v>37</v>
      </c>
      <c r="B26" s="19" t="s">
        <v>38</v>
      </c>
      <c r="C26" s="19"/>
      <c r="D26" s="19"/>
      <c r="E26" s="45">
        <v>854.9</v>
      </c>
      <c r="F26" s="45">
        <v>1455.2</v>
      </c>
      <c r="G26" s="45">
        <v>45.561999999999998</v>
      </c>
      <c r="H26" s="142">
        <v>1099.835</v>
      </c>
      <c r="I26" s="45">
        <v>128.65100000000001</v>
      </c>
      <c r="J26" s="45">
        <v>75.58</v>
      </c>
    </row>
    <row r="27" spans="1:10" ht="90" x14ac:dyDescent="0.2">
      <c r="A27" s="18" t="s">
        <v>37</v>
      </c>
      <c r="B27" s="16" t="s">
        <v>39</v>
      </c>
      <c r="C27" s="16" t="s">
        <v>23</v>
      </c>
      <c r="D27" s="16" t="s">
        <v>24</v>
      </c>
      <c r="E27" s="17">
        <v>854.9</v>
      </c>
      <c r="F27" s="17">
        <v>1455.2</v>
      </c>
      <c r="G27" s="17"/>
      <c r="H27" s="143"/>
      <c r="I27" s="17"/>
      <c r="J27" s="17"/>
    </row>
    <row r="28" spans="1:10" ht="135" x14ac:dyDescent="0.2">
      <c r="A28" s="14" t="s">
        <v>40</v>
      </c>
      <c r="B28" s="12" t="s">
        <v>41</v>
      </c>
      <c r="C28" s="12"/>
      <c r="D28" s="12"/>
      <c r="E28" s="13"/>
      <c r="F28" s="13"/>
      <c r="G28" s="13">
        <v>45.191000000000003</v>
      </c>
      <c r="H28" s="144">
        <v>1064.954</v>
      </c>
      <c r="I28" s="13"/>
      <c r="J28" s="13"/>
    </row>
    <row r="29" spans="1:10" ht="123.75" x14ac:dyDescent="0.2">
      <c r="A29" s="18" t="s">
        <v>40</v>
      </c>
      <c r="B29" s="16" t="s">
        <v>42</v>
      </c>
      <c r="C29" s="16" t="s">
        <v>23</v>
      </c>
      <c r="D29" s="16" t="s">
        <v>24</v>
      </c>
      <c r="E29" s="17"/>
      <c r="F29" s="17"/>
      <c r="G29" s="17">
        <v>45.191000000000003</v>
      </c>
      <c r="H29" s="143">
        <v>1064.954</v>
      </c>
      <c r="I29" s="17"/>
      <c r="J29" s="17"/>
    </row>
    <row r="30" spans="1:10" ht="112.5" x14ac:dyDescent="0.2">
      <c r="A30" s="14" t="s">
        <v>43</v>
      </c>
      <c r="B30" s="12" t="s">
        <v>44</v>
      </c>
      <c r="C30" s="12"/>
      <c r="D30" s="12"/>
      <c r="E30" s="13"/>
      <c r="F30" s="13"/>
      <c r="G30" s="13">
        <v>0.215</v>
      </c>
      <c r="H30" s="144">
        <v>32.648000000000003</v>
      </c>
      <c r="I30" s="13"/>
      <c r="J30" s="13"/>
    </row>
    <row r="31" spans="1:10" ht="101.25" x14ac:dyDescent="0.2">
      <c r="A31" s="18" t="s">
        <v>43</v>
      </c>
      <c r="B31" s="16" t="s">
        <v>45</v>
      </c>
      <c r="C31" s="16" t="s">
        <v>23</v>
      </c>
      <c r="D31" s="16" t="s">
        <v>24</v>
      </c>
      <c r="E31" s="17"/>
      <c r="F31" s="17"/>
      <c r="G31" s="17">
        <v>0.215</v>
      </c>
      <c r="H31" s="143">
        <v>32.648000000000003</v>
      </c>
      <c r="I31" s="17"/>
      <c r="J31" s="17"/>
    </row>
    <row r="32" spans="1:10" ht="123.75" x14ac:dyDescent="0.2">
      <c r="A32" s="14" t="s">
        <v>46</v>
      </c>
      <c r="B32" s="12" t="s">
        <v>47</v>
      </c>
      <c r="C32" s="12"/>
      <c r="D32" s="12"/>
      <c r="E32" s="13"/>
      <c r="F32" s="13"/>
      <c r="G32" s="13">
        <v>0.156</v>
      </c>
      <c r="H32" s="144">
        <v>2.2330000000000001</v>
      </c>
      <c r="I32" s="13"/>
      <c r="J32" s="13"/>
    </row>
    <row r="33" spans="1:12" ht="112.5" x14ac:dyDescent="0.2">
      <c r="A33" s="18" t="s">
        <v>46</v>
      </c>
      <c r="B33" s="16" t="s">
        <v>48</v>
      </c>
      <c r="C33" s="16" t="s">
        <v>23</v>
      </c>
      <c r="D33" s="16" t="s">
        <v>24</v>
      </c>
      <c r="E33" s="17"/>
      <c r="F33" s="17"/>
      <c r="G33" s="17">
        <v>0.156</v>
      </c>
      <c r="H33" s="143">
        <v>2.2330000000000001</v>
      </c>
      <c r="I33" s="17"/>
      <c r="J33" s="17"/>
    </row>
    <row r="34" spans="1:12" s="110" customFormat="1" ht="45" x14ac:dyDescent="0.2">
      <c r="A34" s="109" t="s">
        <v>50</v>
      </c>
      <c r="B34" s="19" t="s">
        <v>51</v>
      </c>
      <c r="C34" s="19"/>
      <c r="D34" s="19"/>
      <c r="E34" s="45">
        <v>754.9</v>
      </c>
      <c r="F34" s="45">
        <v>2486.3000000000002</v>
      </c>
      <c r="G34" s="45">
        <v>43.963999999999999</v>
      </c>
      <c r="H34" s="142">
        <v>1639.98</v>
      </c>
      <c r="I34" s="45">
        <v>217.245</v>
      </c>
      <c r="J34" s="45">
        <v>65.960999999999999</v>
      </c>
    </row>
    <row r="35" spans="1:12" ht="33.75" x14ac:dyDescent="0.2">
      <c r="A35" s="15" t="s">
        <v>50</v>
      </c>
      <c r="B35" s="16" t="s">
        <v>52</v>
      </c>
      <c r="C35" s="16" t="s">
        <v>23</v>
      </c>
      <c r="D35" s="16" t="s">
        <v>24</v>
      </c>
      <c r="E35" s="17">
        <v>754.9</v>
      </c>
      <c r="F35" s="17">
        <v>2486.3000000000002</v>
      </c>
      <c r="G35" s="17"/>
      <c r="H35" s="143"/>
      <c r="I35" s="17"/>
      <c r="J35" s="17"/>
    </row>
    <row r="36" spans="1:12" ht="67.5" x14ac:dyDescent="0.2">
      <c r="A36" s="11" t="s">
        <v>53</v>
      </c>
      <c r="B36" s="12" t="s">
        <v>54</v>
      </c>
      <c r="C36" s="12"/>
      <c r="D36" s="12"/>
      <c r="E36" s="13"/>
      <c r="F36" s="13"/>
      <c r="G36" s="13">
        <v>40.929000000000002</v>
      </c>
      <c r="H36" s="144">
        <v>1593.8119999999999</v>
      </c>
      <c r="I36" s="13"/>
      <c r="J36" s="13"/>
    </row>
    <row r="37" spans="1:12" ht="67.5" x14ac:dyDescent="0.2">
      <c r="A37" s="15" t="s">
        <v>53</v>
      </c>
      <c r="B37" s="16" t="s">
        <v>55</v>
      </c>
      <c r="C37" s="16" t="s">
        <v>23</v>
      </c>
      <c r="D37" s="16" t="s">
        <v>24</v>
      </c>
      <c r="E37" s="17"/>
      <c r="F37" s="17"/>
      <c r="G37" s="17">
        <v>40.929000000000002</v>
      </c>
      <c r="H37" s="143">
        <v>1593.8119999999999</v>
      </c>
      <c r="I37" s="17"/>
      <c r="J37" s="17"/>
    </row>
    <row r="38" spans="1:12" ht="45" x14ac:dyDescent="0.2">
      <c r="A38" s="11" t="s">
        <v>56</v>
      </c>
      <c r="B38" s="12" t="s">
        <v>57</v>
      </c>
      <c r="C38" s="12"/>
      <c r="D38" s="12"/>
      <c r="E38" s="13"/>
      <c r="F38" s="13"/>
      <c r="G38" s="13">
        <v>3.8690000000000002</v>
      </c>
      <c r="H38" s="144">
        <v>24.475999999999999</v>
      </c>
      <c r="I38" s="13"/>
      <c r="J38" s="13"/>
    </row>
    <row r="39" spans="1:12" ht="45" x14ac:dyDescent="0.2">
      <c r="A39" s="15" t="s">
        <v>56</v>
      </c>
      <c r="B39" s="16" t="s">
        <v>58</v>
      </c>
      <c r="C39" s="16" t="s">
        <v>23</v>
      </c>
      <c r="D39" s="16" t="s">
        <v>24</v>
      </c>
      <c r="E39" s="17"/>
      <c r="F39" s="17"/>
      <c r="G39" s="17">
        <v>3.8690000000000002</v>
      </c>
      <c r="H39" s="143">
        <v>24.475999999999999</v>
      </c>
      <c r="I39" s="17"/>
      <c r="J39" s="17"/>
    </row>
    <row r="40" spans="1:12" ht="67.5" x14ac:dyDescent="0.2">
      <c r="A40" s="11" t="s">
        <v>59</v>
      </c>
      <c r="B40" s="12" t="s">
        <v>60</v>
      </c>
      <c r="C40" s="12"/>
      <c r="D40" s="12"/>
      <c r="E40" s="13"/>
      <c r="F40" s="13"/>
      <c r="G40" s="13">
        <v>0.313</v>
      </c>
      <c r="H40" s="144">
        <v>21.402000000000001</v>
      </c>
      <c r="I40" s="13"/>
      <c r="J40" s="13"/>
    </row>
    <row r="41" spans="1:12" ht="67.5" x14ac:dyDescent="0.2">
      <c r="A41" s="15" t="s">
        <v>59</v>
      </c>
      <c r="B41" s="16" t="s">
        <v>61</v>
      </c>
      <c r="C41" s="16" t="s">
        <v>23</v>
      </c>
      <c r="D41" s="16" t="s">
        <v>24</v>
      </c>
      <c r="E41" s="17"/>
      <c r="F41" s="17"/>
      <c r="G41" s="17">
        <v>0.313</v>
      </c>
      <c r="H41" s="143">
        <v>21.402000000000001</v>
      </c>
      <c r="I41" s="17"/>
      <c r="J41" s="17"/>
    </row>
    <row r="42" spans="1:12" ht="45" x14ac:dyDescent="0.2">
      <c r="A42" s="11" t="s">
        <v>62</v>
      </c>
      <c r="B42" s="12" t="s">
        <v>63</v>
      </c>
      <c r="C42" s="12"/>
      <c r="D42" s="12"/>
      <c r="E42" s="13"/>
      <c r="F42" s="13"/>
      <c r="G42" s="13">
        <v>-1.1459999999999999</v>
      </c>
      <c r="H42" s="144">
        <v>0.28999999999999998</v>
      </c>
      <c r="I42" s="13"/>
      <c r="J42" s="13"/>
    </row>
    <row r="43" spans="1:12" ht="45" x14ac:dyDescent="0.2">
      <c r="A43" s="15" t="s">
        <v>62</v>
      </c>
      <c r="B43" s="16" t="s">
        <v>64</v>
      </c>
      <c r="C43" s="16" t="s">
        <v>23</v>
      </c>
      <c r="D43" s="16" t="s">
        <v>24</v>
      </c>
      <c r="E43" s="17"/>
      <c r="F43" s="17"/>
      <c r="G43" s="17">
        <v>-1.1459999999999999</v>
      </c>
      <c r="H43" s="143">
        <v>0.28999999999999998</v>
      </c>
      <c r="I43" s="17"/>
      <c r="J43" s="17"/>
    </row>
    <row r="44" spans="1:12" s="110" customFormat="1" ht="78.75" x14ac:dyDescent="0.2">
      <c r="A44" s="128" t="s">
        <v>530</v>
      </c>
      <c r="B44" s="19" t="s">
        <v>66</v>
      </c>
      <c r="C44" s="19"/>
      <c r="D44" s="19"/>
      <c r="E44" s="45">
        <v>6336.9</v>
      </c>
      <c r="F44" s="45">
        <v>6468.8</v>
      </c>
      <c r="G44" s="45">
        <v>539.33299999999997</v>
      </c>
      <c r="H44" s="142">
        <v>5246.3770000000004</v>
      </c>
      <c r="I44" s="45">
        <v>82.790999999999997</v>
      </c>
      <c r="J44" s="45">
        <v>81.102999999999994</v>
      </c>
    </row>
    <row r="45" spans="1:12" ht="67.5" x14ac:dyDescent="0.2">
      <c r="A45" s="18" t="s">
        <v>530</v>
      </c>
      <c r="B45" s="16" t="s">
        <v>67</v>
      </c>
      <c r="C45" s="16" t="s">
        <v>23</v>
      </c>
      <c r="D45" s="16" t="s">
        <v>24</v>
      </c>
      <c r="E45" s="17">
        <v>6336.9</v>
      </c>
      <c r="F45" s="17">
        <v>6468.8</v>
      </c>
      <c r="G45" s="17"/>
      <c r="H45" s="143"/>
      <c r="I45" s="17"/>
      <c r="J45" s="17"/>
    </row>
    <row r="46" spans="1:12" ht="112.5" x14ac:dyDescent="0.2">
      <c r="A46" s="14" t="s">
        <v>68</v>
      </c>
      <c r="B46" s="12" t="s">
        <v>69</v>
      </c>
      <c r="C46" s="12"/>
      <c r="D46" s="12"/>
      <c r="E46" s="13"/>
      <c r="F46" s="13"/>
      <c r="G46" s="13">
        <v>539.33299999999997</v>
      </c>
      <c r="H46" s="144">
        <v>5246.3770000000004</v>
      </c>
      <c r="I46" s="13"/>
      <c r="J46" s="13"/>
    </row>
    <row r="47" spans="1:12" ht="101.25" x14ac:dyDescent="0.2">
      <c r="A47" s="18" t="s">
        <v>68</v>
      </c>
      <c r="B47" s="16" t="s">
        <v>70</v>
      </c>
      <c r="C47" s="16" t="s">
        <v>23</v>
      </c>
      <c r="D47" s="16" t="s">
        <v>24</v>
      </c>
      <c r="E47" s="17"/>
      <c r="F47" s="17"/>
      <c r="G47" s="17">
        <v>539.33299999999997</v>
      </c>
      <c r="H47" s="143">
        <v>5246.3770000000004</v>
      </c>
      <c r="I47" s="17"/>
      <c r="J47" s="17"/>
    </row>
    <row r="48" spans="1:12" s="66" customFormat="1" ht="36" x14ac:dyDescent="0.2">
      <c r="A48" s="60" t="s">
        <v>726</v>
      </c>
      <c r="B48" s="61" t="s">
        <v>727</v>
      </c>
      <c r="C48" s="61"/>
      <c r="D48" s="61"/>
      <c r="E48" s="62">
        <v>1998.9</v>
      </c>
      <c r="F48" s="63">
        <v>1998.9</v>
      </c>
      <c r="G48" s="116">
        <v>208.578</v>
      </c>
      <c r="H48" s="140">
        <v>1580.471</v>
      </c>
      <c r="I48" s="112">
        <v>79.066999999999993</v>
      </c>
      <c r="J48" s="64">
        <v>79.066999999999993</v>
      </c>
      <c r="K48" s="62"/>
      <c r="L48" s="62"/>
    </row>
    <row r="49" spans="1:15" s="66" customFormat="1" ht="36" x14ac:dyDescent="0.2">
      <c r="A49" s="60" t="s">
        <v>408</v>
      </c>
      <c r="B49" s="61" t="s">
        <v>728</v>
      </c>
      <c r="C49" s="61"/>
      <c r="D49" s="61"/>
      <c r="E49" s="62">
        <v>1998.9</v>
      </c>
      <c r="F49" s="63">
        <v>1998.9</v>
      </c>
      <c r="G49" s="116">
        <v>208.578</v>
      </c>
      <c r="H49" s="140">
        <v>1580.471</v>
      </c>
      <c r="I49" s="112">
        <v>79.066999999999993</v>
      </c>
      <c r="J49" s="64">
        <v>79.066999999999993</v>
      </c>
      <c r="K49" s="62"/>
      <c r="L49" s="62"/>
    </row>
    <row r="50" spans="1:15" s="110" customFormat="1" ht="67.5" x14ac:dyDescent="0.2">
      <c r="A50" s="109" t="s">
        <v>421</v>
      </c>
      <c r="B50" s="19" t="s">
        <v>729</v>
      </c>
      <c r="C50" s="19"/>
      <c r="D50" s="19"/>
      <c r="E50" s="45">
        <v>745.9</v>
      </c>
      <c r="F50" s="45">
        <v>745.9</v>
      </c>
      <c r="G50" s="45">
        <v>89.554000000000002</v>
      </c>
      <c r="H50" s="142">
        <v>688.26400000000001</v>
      </c>
      <c r="I50" s="45">
        <v>92.272999999999996</v>
      </c>
      <c r="J50" s="45">
        <v>92.272999999999996</v>
      </c>
    </row>
    <row r="51" spans="1:15" ht="67.5" x14ac:dyDescent="0.2">
      <c r="A51" s="15" t="s">
        <v>421</v>
      </c>
      <c r="B51" s="16" t="s">
        <v>413</v>
      </c>
      <c r="C51" s="16" t="s">
        <v>23</v>
      </c>
      <c r="D51" s="16" t="s">
        <v>24</v>
      </c>
      <c r="E51" s="17">
        <v>745.9</v>
      </c>
      <c r="F51" s="17">
        <v>745.9</v>
      </c>
      <c r="G51" s="17">
        <v>89.554000000000002</v>
      </c>
      <c r="H51" s="143">
        <v>688.26400000000001</v>
      </c>
      <c r="I51" s="17">
        <v>92.272999999999996</v>
      </c>
      <c r="J51" s="17">
        <v>92.272999999999996</v>
      </c>
    </row>
    <row r="52" spans="1:15" s="110" customFormat="1" ht="78.75" x14ac:dyDescent="0.2">
      <c r="A52" s="128" t="s">
        <v>420</v>
      </c>
      <c r="B52" s="19" t="s">
        <v>730</v>
      </c>
      <c r="C52" s="19"/>
      <c r="D52" s="19"/>
      <c r="E52" s="45">
        <v>7.9</v>
      </c>
      <c r="F52" s="45">
        <v>7.9</v>
      </c>
      <c r="G52" s="45">
        <v>1.113</v>
      </c>
      <c r="H52" s="142">
        <v>6.2430000000000003</v>
      </c>
      <c r="I52" s="45">
        <v>79.022000000000006</v>
      </c>
      <c r="J52" s="45">
        <v>79.022000000000006</v>
      </c>
    </row>
    <row r="53" spans="1:15" ht="78.75" x14ac:dyDescent="0.2">
      <c r="A53" s="18" t="s">
        <v>420</v>
      </c>
      <c r="B53" s="16" t="s">
        <v>414</v>
      </c>
      <c r="C53" s="16" t="s">
        <v>23</v>
      </c>
      <c r="D53" s="16" t="s">
        <v>24</v>
      </c>
      <c r="E53" s="17">
        <v>7.9</v>
      </c>
      <c r="F53" s="17">
        <v>7.9</v>
      </c>
      <c r="G53" s="17">
        <v>1.113</v>
      </c>
      <c r="H53" s="143">
        <v>6.2430000000000003</v>
      </c>
      <c r="I53" s="17">
        <v>79.022000000000006</v>
      </c>
      <c r="J53" s="17">
        <v>79.022000000000006</v>
      </c>
    </row>
    <row r="54" spans="1:15" s="110" customFormat="1" ht="67.5" x14ac:dyDescent="0.2">
      <c r="A54" s="109" t="s">
        <v>419</v>
      </c>
      <c r="B54" s="19" t="s">
        <v>731</v>
      </c>
      <c r="C54" s="19"/>
      <c r="D54" s="19"/>
      <c r="E54" s="45">
        <v>1245.0999999999999</v>
      </c>
      <c r="F54" s="45">
        <v>1245.0999999999999</v>
      </c>
      <c r="G54" s="45">
        <v>132.501</v>
      </c>
      <c r="H54" s="142">
        <v>1040.133</v>
      </c>
      <c r="I54" s="45">
        <v>83.537999999999997</v>
      </c>
      <c r="J54" s="45">
        <v>83.537999999999997</v>
      </c>
    </row>
    <row r="55" spans="1:15" ht="67.5" x14ac:dyDescent="0.2">
      <c r="A55" s="15" t="s">
        <v>419</v>
      </c>
      <c r="B55" s="16" t="s">
        <v>415</v>
      </c>
      <c r="C55" s="16" t="s">
        <v>23</v>
      </c>
      <c r="D55" s="16" t="s">
        <v>24</v>
      </c>
      <c r="E55" s="17">
        <v>1245.0999999999999</v>
      </c>
      <c r="F55" s="17">
        <v>1245.0999999999999</v>
      </c>
      <c r="G55" s="17">
        <v>132.501</v>
      </c>
      <c r="H55" s="143">
        <v>1040.133</v>
      </c>
      <c r="I55" s="17">
        <v>83.537999999999997</v>
      </c>
      <c r="J55" s="17">
        <v>83.537999999999997</v>
      </c>
    </row>
    <row r="56" spans="1:15" s="110" customFormat="1" ht="67.5" x14ac:dyDescent="0.2">
      <c r="A56" s="109" t="s">
        <v>418</v>
      </c>
      <c r="B56" s="19" t="s">
        <v>732</v>
      </c>
      <c r="C56" s="19"/>
      <c r="D56" s="19"/>
      <c r="E56" s="45"/>
      <c r="F56" s="45"/>
      <c r="G56" s="45">
        <v>-14.59</v>
      </c>
      <c r="H56" s="142">
        <v>-154.16800000000001</v>
      </c>
      <c r="I56" s="45"/>
      <c r="J56" s="45"/>
    </row>
    <row r="57" spans="1:15" ht="67.5" x14ac:dyDescent="0.2">
      <c r="A57" s="15" t="s">
        <v>418</v>
      </c>
      <c r="B57" s="16" t="s">
        <v>416</v>
      </c>
      <c r="C57" s="16" t="s">
        <v>23</v>
      </c>
      <c r="D57" s="16" t="s">
        <v>24</v>
      </c>
      <c r="E57" s="17"/>
      <c r="F57" s="17"/>
      <c r="G57" s="17">
        <v>-14.59</v>
      </c>
      <c r="H57" s="143">
        <v>-154.16800000000001</v>
      </c>
      <c r="I57" s="17">
        <f>G58-G59</f>
        <v>554.43999999999994</v>
      </c>
      <c r="J57" s="17"/>
    </row>
    <row r="58" spans="1:15" s="76" customFormat="1" x14ac:dyDescent="0.2">
      <c r="A58" s="117" t="s">
        <v>71</v>
      </c>
      <c r="B58" s="118" t="s">
        <v>72</v>
      </c>
      <c r="C58" s="71"/>
      <c r="D58" s="71"/>
      <c r="E58" s="72">
        <v>63838.5</v>
      </c>
      <c r="F58" s="72">
        <v>61136.2</v>
      </c>
      <c r="G58" s="119">
        <v>1494.242</v>
      </c>
      <c r="H58" s="141">
        <v>43895.853000000003</v>
      </c>
      <c r="I58" s="115">
        <v>68.760999999999996</v>
      </c>
      <c r="J58" s="72">
        <v>71.8</v>
      </c>
      <c r="K58" s="72"/>
      <c r="L58" s="72"/>
    </row>
    <row r="59" spans="1:15" s="76" customFormat="1" ht="22.5" x14ac:dyDescent="0.2">
      <c r="A59" s="70" t="s">
        <v>531</v>
      </c>
      <c r="B59" s="71" t="s">
        <v>532</v>
      </c>
      <c r="C59" s="71"/>
      <c r="D59" s="71"/>
      <c r="E59" s="72">
        <v>22900</v>
      </c>
      <c r="F59" s="73">
        <v>25177.3</v>
      </c>
      <c r="G59" s="119">
        <v>939.80200000000002</v>
      </c>
      <c r="H59" s="141">
        <v>19997.559000000001</v>
      </c>
      <c r="I59" s="115">
        <v>87.325999999999993</v>
      </c>
      <c r="J59" s="74">
        <v>79.427000000000007</v>
      </c>
      <c r="K59" s="72"/>
      <c r="L59" s="72"/>
      <c r="M59" s="75"/>
      <c r="N59" s="75"/>
      <c r="O59" s="75"/>
    </row>
    <row r="60" spans="1:15" s="130" customFormat="1" ht="33.75" x14ac:dyDescent="0.2">
      <c r="A60" s="129" t="s">
        <v>422</v>
      </c>
      <c r="B60" s="113" t="s">
        <v>533</v>
      </c>
      <c r="C60" s="113"/>
      <c r="D60" s="113"/>
      <c r="E60" s="68">
        <v>12549.2</v>
      </c>
      <c r="F60" s="68">
        <v>14854.6</v>
      </c>
      <c r="G60" s="68">
        <v>101.526</v>
      </c>
      <c r="H60" s="145">
        <v>10915.531000000001</v>
      </c>
      <c r="I60" s="68">
        <v>86.981999999999999</v>
      </c>
      <c r="J60" s="68">
        <v>73.483000000000004</v>
      </c>
    </row>
    <row r="61" spans="1:15" s="110" customFormat="1" ht="33.75" x14ac:dyDescent="0.2">
      <c r="A61" s="109" t="s">
        <v>422</v>
      </c>
      <c r="B61" s="19" t="s">
        <v>534</v>
      </c>
      <c r="C61" s="19"/>
      <c r="D61" s="19"/>
      <c r="E61" s="45">
        <v>12549.2</v>
      </c>
      <c r="F61" s="45">
        <v>14854.6</v>
      </c>
      <c r="G61" s="45">
        <v>101.526</v>
      </c>
      <c r="H61" s="142">
        <v>10915.531000000001</v>
      </c>
      <c r="I61" s="45">
        <v>86.981999999999999</v>
      </c>
      <c r="J61" s="45">
        <v>73.483000000000004</v>
      </c>
    </row>
    <row r="62" spans="1:15" ht="22.5" x14ac:dyDescent="0.2">
      <c r="A62" s="15" t="s">
        <v>422</v>
      </c>
      <c r="B62" s="16" t="s">
        <v>733</v>
      </c>
      <c r="C62" s="16" t="s">
        <v>23</v>
      </c>
      <c r="D62" s="16" t="s">
        <v>24</v>
      </c>
      <c r="E62" s="17">
        <v>12549.2</v>
      </c>
      <c r="F62" s="17">
        <v>14854.6</v>
      </c>
      <c r="G62" s="17"/>
      <c r="H62" s="143"/>
      <c r="I62" s="17"/>
      <c r="J62" s="17"/>
    </row>
    <row r="63" spans="1:15" s="130" customFormat="1" ht="56.25" x14ac:dyDescent="0.2">
      <c r="A63" s="129" t="s">
        <v>734</v>
      </c>
      <c r="B63" s="113" t="s">
        <v>535</v>
      </c>
      <c r="C63" s="113"/>
      <c r="D63" s="113"/>
      <c r="E63" s="68"/>
      <c r="F63" s="68"/>
      <c r="G63" s="68">
        <v>89.519000000000005</v>
      </c>
      <c r="H63" s="145">
        <v>10648.004999999999</v>
      </c>
      <c r="I63" s="68"/>
      <c r="J63" s="68"/>
    </row>
    <row r="64" spans="1:15" ht="56.25" x14ac:dyDescent="0.2">
      <c r="A64" s="15" t="s">
        <v>734</v>
      </c>
      <c r="B64" s="16" t="s">
        <v>536</v>
      </c>
      <c r="C64" s="16" t="s">
        <v>23</v>
      </c>
      <c r="D64" s="16" t="s">
        <v>24</v>
      </c>
      <c r="E64" s="17"/>
      <c r="F64" s="17"/>
      <c r="G64" s="17">
        <v>89.519000000000005</v>
      </c>
      <c r="H64" s="143">
        <v>10648.004999999999</v>
      </c>
      <c r="I64" s="17"/>
      <c r="J64" s="17"/>
    </row>
    <row r="65" spans="1:10" ht="33.75" x14ac:dyDescent="0.2">
      <c r="A65" s="11" t="s">
        <v>424</v>
      </c>
      <c r="B65" s="12" t="s">
        <v>537</v>
      </c>
      <c r="C65" s="12"/>
      <c r="D65" s="12"/>
      <c r="E65" s="13"/>
      <c r="F65" s="13"/>
      <c r="G65" s="13">
        <v>12.006</v>
      </c>
      <c r="H65" s="144">
        <v>258.19400000000002</v>
      </c>
      <c r="I65" s="13"/>
      <c r="J65" s="13"/>
    </row>
    <row r="66" spans="1:10" ht="33.75" x14ac:dyDescent="0.2">
      <c r="A66" s="15" t="s">
        <v>424</v>
      </c>
      <c r="B66" s="16" t="s">
        <v>538</v>
      </c>
      <c r="C66" s="16" t="s">
        <v>23</v>
      </c>
      <c r="D66" s="16" t="s">
        <v>24</v>
      </c>
      <c r="E66" s="17"/>
      <c r="F66" s="17"/>
      <c r="G66" s="17">
        <v>12.006</v>
      </c>
      <c r="H66" s="143">
        <v>258.19400000000002</v>
      </c>
      <c r="I66" s="17"/>
      <c r="J66" s="17"/>
    </row>
    <row r="67" spans="1:10" ht="56.25" x14ac:dyDescent="0.2">
      <c r="A67" s="11" t="s">
        <v>425</v>
      </c>
      <c r="B67" s="12" t="s">
        <v>539</v>
      </c>
      <c r="C67" s="12"/>
      <c r="D67" s="12"/>
      <c r="E67" s="13"/>
      <c r="F67" s="13"/>
      <c r="G67" s="13"/>
      <c r="H67" s="144">
        <v>9.6910000000000007</v>
      </c>
      <c r="I67" s="13"/>
      <c r="J67" s="13"/>
    </row>
    <row r="68" spans="1:10" ht="56.25" x14ac:dyDescent="0.2">
      <c r="A68" s="15" t="s">
        <v>425</v>
      </c>
      <c r="B68" s="16" t="s">
        <v>540</v>
      </c>
      <c r="C68" s="16" t="s">
        <v>23</v>
      </c>
      <c r="D68" s="16" t="s">
        <v>24</v>
      </c>
      <c r="E68" s="17"/>
      <c r="F68" s="17"/>
      <c r="G68" s="17"/>
      <c r="H68" s="143">
        <v>9.6910000000000007</v>
      </c>
      <c r="I68" s="17"/>
      <c r="J68" s="17"/>
    </row>
    <row r="69" spans="1:10" ht="33.75" x14ac:dyDescent="0.2">
      <c r="A69" s="11" t="s">
        <v>426</v>
      </c>
      <c r="B69" s="12" t="s">
        <v>541</v>
      </c>
      <c r="C69" s="12"/>
      <c r="D69" s="12"/>
      <c r="E69" s="13"/>
      <c r="F69" s="13"/>
      <c r="G69" s="13"/>
      <c r="H69" s="144">
        <v>-0.36</v>
      </c>
      <c r="I69" s="13"/>
      <c r="J69" s="13"/>
    </row>
    <row r="70" spans="1:10" ht="33.75" x14ac:dyDescent="0.2">
      <c r="A70" s="15" t="s">
        <v>426</v>
      </c>
      <c r="B70" s="16" t="s">
        <v>791</v>
      </c>
      <c r="C70" s="16" t="s">
        <v>23</v>
      </c>
      <c r="D70" s="16" t="s">
        <v>24</v>
      </c>
      <c r="E70" s="17"/>
      <c r="F70" s="17"/>
      <c r="G70" s="17"/>
      <c r="H70" s="143">
        <v>-0.36</v>
      </c>
      <c r="I70" s="17"/>
      <c r="J70" s="17"/>
    </row>
    <row r="71" spans="1:10" ht="33.75" x14ac:dyDescent="0.2">
      <c r="A71" s="11" t="s">
        <v>431</v>
      </c>
      <c r="B71" s="12" t="s">
        <v>542</v>
      </c>
      <c r="C71" s="12"/>
      <c r="D71" s="12"/>
      <c r="E71" s="13">
        <v>10350.799999999999</v>
      </c>
      <c r="F71" s="13">
        <v>10350.799999999999</v>
      </c>
      <c r="G71" s="13">
        <v>838.23800000000006</v>
      </c>
      <c r="H71" s="144">
        <v>9109.3459999999995</v>
      </c>
      <c r="I71" s="13">
        <v>88.006</v>
      </c>
      <c r="J71" s="13">
        <v>88.006</v>
      </c>
    </row>
    <row r="72" spans="1:10" s="110" customFormat="1" ht="56.25" x14ac:dyDescent="0.2">
      <c r="A72" s="109" t="s">
        <v>432</v>
      </c>
      <c r="B72" s="19" t="s">
        <v>543</v>
      </c>
      <c r="C72" s="19"/>
      <c r="D72" s="19"/>
      <c r="E72" s="45">
        <v>10350.799999999999</v>
      </c>
      <c r="F72" s="45">
        <v>10350.799999999999</v>
      </c>
      <c r="G72" s="45">
        <v>838.23800000000006</v>
      </c>
      <c r="H72" s="142">
        <v>9109.3459999999995</v>
      </c>
      <c r="I72" s="45">
        <v>88.006</v>
      </c>
      <c r="J72" s="45">
        <v>88.006</v>
      </c>
    </row>
    <row r="73" spans="1:10" ht="56.25" x14ac:dyDescent="0.2">
      <c r="A73" s="15" t="s">
        <v>432</v>
      </c>
      <c r="B73" s="16" t="s">
        <v>735</v>
      </c>
      <c r="C73" s="16" t="s">
        <v>23</v>
      </c>
      <c r="D73" s="16" t="s">
        <v>24</v>
      </c>
      <c r="E73" s="17">
        <v>10350.799999999999</v>
      </c>
      <c r="F73" s="17">
        <v>10350.799999999999</v>
      </c>
      <c r="G73" s="17"/>
      <c r="H73" s="143"/>
      <c r="I73" s="17"/>
      <c r="J73" s="17"/>
    </row>
    <row r="74" spans="1:10" ht="67.5" x14ac:dyDescent="0.2">
      <c r="A74" s="11" t="s">
        <v>736</v>
      </c>
      <c r="B74" s="12" t="s">
        <v>544</v>
      </c>
      <c r="C74" s="12"/>
      <c r="D74" s="12"/>
      <c r="E74" s="13"/>
      <c r="F74" s="13"/>
      <c r="G74" s="13">
        <v>830.21799999999996</v>
      </c>
      <c r="H74" s="144">
        <v>8861.1669999999995</v>
      </c>
      <c r="I74" s="13"/>
      <c r="J74" s="13"/>
    </row>
    <row r="75" spans="1:10" ht="67.5" x14ac:dyDescent="0.2">
      <c r="A75" s="15" t="s">
        <v>736</v>
      </c>
      <c r="B75" s="16" t="s">
        <v>545</v>
      </c>
      <c r="C75" s="16" t="s">
        <v>23</v>
      </c>
      <c r="D75" s="16" t="s">
        <v>24</v>
      </c>
      <c r="E75" s="17"/>
      <c r="F75" s="17"/>
      <c r="G75" s="17">
        <v>830.21799999999996</v>
      </c>
      <c r="H75" s="143">
        <v>8861.1669999999995</v>
      </c>
      <c r="I75" s="17"/>
      <c r="J75" s="17"/>
    </row>
    <row r="76" spans="1:10" ht="45" x14ac:dyDescent="0.2">
      <c r="A76" s="11" t="s">
        <v>434</v>
      </c>
      <c r="B76" s="12" t="s">
        <v>546</v>
      </c>
      <c r="C76" s="12"/>
      <c r="D76" s="12"/>
      <c r="E76" s="13"/>
      <c r="F76" s="13"/>
      <c r="G76" s="13">
        <v>7.87</v>
      </c>
      <c r="H76" s="144">
        <v>268.95400000000001</v>
      </c>
      <c r="I76" s="13"/>
      <c r="J76" s="13"/>
    </row>
    <row r="77" spans="1:10" ht="45" x14ac:dyDescent="0.2">
      <c r="A77" s="15" t="s">
        <v>434</v>
      </c>
      <c r="B77" s="16" t="s">
        <v>547</v>
      </c>
      <c r="C77" s="16" t="s">
        <v>23</v>
      </c>
      <c r="D77" s="16" t="s">
        <v>24</v>
      </c>
      <c r="E77" s="17"/>
      <c r="F77" s="17"/>
      <c r="G77" s="17">
        <v>7.87</v>
      </c>
      <c r="H77" s="143">
        <v>268.95400000000001</v>
      </c>
      <c r="I77" s="17"/>
      <c r="J77" s="17"/>
    </row>
    <row r="78" spans="1:10" ht="67.5" x14ac:dyDescent="0.2">
      <c r="A78" s="11" t="s">
        <v>435</v>
      </c>
      <c r="B78" s="12" t="s">
        <v>548</v>
      </c>
      <c r="C78" s="12"/>
      <c r="D78" s="12"/>
      <c r="E78" s="13"/>
      <c r="F78" s="13"/>
      <c r="G78" s="13">
        <v>0.15</v>
      </c>
      <c r="H78" s="144">
        <v>-12.676</v>
      </c>
      <c r="I78" s="13"/>
      <c r="J78" s="13"/>
    </row>
    <row r="79" spans="1:10" ht="56.25" x14ac:dyDescent="0.2">
      <c r="A79" s="15" t="s">
        <v>435</v>
      </c>
      <c r="B79" s="16" t="s">
        <v>549</v>
      </c>
      <c r="C79" s="16" t="s">
        <v>23</v>
      </c>
      <c r="D79" s="16" t="s">
        <v>24</v>
      </c>
      <c r="E79" s="17"/>
      <c r="F79" s="17"/>
      <c r="G79" s="17">
        <v>0.15</v>
      </c>
      <c r="H79" s="143">
        <v>-12.676</v>
      </c>
      <c r="I79" s="17"/>
      <c r="J79" s="17"/>
    </row>
    <row r="80" spans="1:10" ht="45" x14ac:dyDescent="0.2">
      <c r="A80" s="11" t="s">
        <v>550</v>
      </c>
      <c r="B80" s="12" t="s">
        <v>551</v>
      </c>
      <c r="C80" s="12"/>
      <c r="D80" s="12"/>
      <c r="E80" s="13"/>
      <c r="F80" s="13"/>
      <c r="G80" s="13"/>
      <c r="H80" s="144">
        <v>-8.1</v>
      </c>
      <c r="I80" s="13"/>
      <c r="J80" s="13"/>
    </row>
    <row r="81" spans="1:15" ht="45" x14ac:dyDescent="0.2">
      <c r="A81" s="15" t="s">
        <v>550</v>
      </c>
      <c r="B81" s="16" t="s">
        <v>552</v>
      </c>
      <c r="C81" s="16" t="s">
        <v>23</v>
      </c>
      <c r="D81" s="16" t="s">
        <v>24</v>
      </c>
      <c r="E81" s="17"/>
      <c r="F81" s="17"/>
      <c r="G81" s="17"/>
      <c r="H81" s="143">
        <v>-8.1</v>
      </c>
      <c r="I81" s="17"/>
      <c r="J81" s="17"/>
    </row>
    <row r="82" spans="1:15" s="110" customFormat="1" ht="33.75" x14ac:dyDescent="0.2">
      <c r="A82" s="109" t="s">
        <v>438</v>
      </c>
      <c r="B82" s="19" t="s">
        <v>796</v>
      </c>
      <c r="C82" s="19"/>
      <c r="D82" s="19"/>
      <c r="E82" s="45"/>
      <c r="F82" s="45">
        <v>-28.1</v>
      </c>
      <c r="G82" s="45">
        <v>3.9E-2</v>
      </c>
      <c r="H82" s="142">
        <v>-27.318000000000001</v>
      </c>
      <c r="I82" s="45"/>
      <c r="J82" s="45">
        <v>97.215000000000003</v>
      </c>
    </row>
    <row r="83" spans="1:15" ht="33.75" x14ac:dyDescent="0.2">
      <c r="A83" s="15" t="s">
        <v>438</v>
      </c>
      <c r="B83" s="16" t="s">
        <v>737</v>
      </c>
      <c r="C83" s="16" t="s">
        <v>23</v>
      </c>
      <c r="D83" s="16" t="s">
        <v>24</v>
      </c>
      <c r="E83" s="17"/>
      <c r="F83" s="17">
        <v>-28.1</v>
      </c>
      <c r="G83" s="17"/>
      <c r="H83" s="143"/>
      <c r="I83" s="17"/>
      <c r="J83" s="17"/>
    </row>
    <row r="84" spans="1:15" ht="56.25" x14ac:dyDescent="0.2">
      <c r="A84" s="11" t="s">
        <v>738</v>
      </c>
      <c r="B84" s="12" t="s">
        <v>553</v>
      </c>
      <c r="C84" s="12"/>
      <c r="D84" s="12"/>
      <c r="E84" s="13"/>
      <c r="F84" s="13"/>
      <c r="G84" s="13"/>
      <c r="H84" s="144">
        <v>-41.625999999999998</v>
      </c>
      <c r="I84" s="13"/>
      <c r="J84" s="13"/>
    </row>
    <row r="85" spans="1:15" ht="45" x14ac:dyDescent="0.2">
      <c r="A85" s="15" t="s">
        <v>738</v>
      </c>
      <c r="B85" s="16" t="s">
        <v>554</v>
      </c>
      <c r="C85" s="16" t="s">
        <v>23</v>
      </c>
      <c r="D85" s="16" t="s">
        <v>24</v>
      </c>
      <c r="E85" s="17"/>
      <c r="F85" s="17"/>
      <c r="G85" s="17"/>
      <c r="H85" s="143">
        <v>-41.625999999999998</v>
      </c>
      <c r="I85" s="17"/>
      <c r="J85" s="17"/>
    </row>
    <row r="86" spans="1:15" ht="33.75" x14ac:dyDescent="0.2">
      <c r="A86" s="11" t="s">
        <v>440</v>
      </c>
      <c r="B86" s="12" t="s">
        <v>555</v>
      </c>
      <c r="C86" s="12"/>
      <c r="D86" s="12"/>
      <c r="E86" s="13"/>
      <c r="F86" s="13"/>
      <c r="G86" s="13">
        <v>3.9E-2</v>
      </c>
      <c r="H86" s="144">
        <v>13.284000000000001</v>
      </c>
      <c r="I86" s="13"/>
      <c r="J86" s="13"/>
    </row>
    <row r="87" spans="1:15" ht="33.75" x14ac:dyDescent="0.2">
      <c r="A87" s="15" t="s">
        <v>440</v>
      </c>
      <c r="B87" s="16" t="s">
        <v>556</v>
      </c>
      <c r="C87" s="16" t="s">
        <v>23</v>
      </c>
      <c r="D87" s="16" t="s">
        <v>24</v>
      </c>
      <c r="E87" s="17"/>
      <c r="F87" s="17"/>
      <c r="G87" s="17">
        <v>3.9E-2</v>
      </c>
      <c r="H87" s="143">
        <v>13.284000000000001</v>
      </c>
      <c r="I87" s="17"/>
      <c r="J87" s="17"/>
    </row>
    <row r="88" spans="1:15" ht="56.25" x14ac:dyDescent="0.2">
      <c r="A88" s="11" t="s">
        <v>441</v>
      </c>
      <c r="B88" s="12" t="s">
        <v>557</v>
      </c>
      <c r="C88" s="12"/>
      <c r="D88" s="12"/>
      <c r="E88" s="13"/>
      <c r="F88" s="13"/>
      <c r="G88" s="13"/>
      <c r="H88" s="144">
        <v>1.0249999999999999</v>
      </c>
      <c r="I88" s="13"/>
      <c r="J88" s="13"/>
    </row>
    <row r="89" spans="1:15" ht="45" x14ac:dyDescent="0.2">
      <c r="A89" s="15" t="s">
        <v>441</v>
      </c>
      <c r="B89" s="16" t="s">
        <v>558</v>
      </c>
      <c r="C89" s="16" t="s">
        <v>23</v>
      </c>
      <c r="D89" s="16" t="s">
        <v>24</v>
      </c>
      <c r="E89" s="17"/>
      <c r="F89" s="17"/>
      <c r="G89" s="17"/>
      <c r="H89" s="143">
        <v>1.0249999999999999</v>
      </c>
      <c r="I89" s="17"/>
      <c r="J89" s="17"/>
    </row>
    <row r="90" spans="1:15" s="76" customFormat="1" ht="29.25" customHeight="1" x14ac:dyDescent="0.2">
      <c r="A90" s="70" t="s">
        <v>73</v>
      </c>
      <c r="B90" s="71" t="s">
        <v>74</v>
      </c>
      <c r="C90" s="71"/>
      <c r="D90" s="71"/>
      <c r="E90" s="72">
        <v>40079.5</v>
      </c>
      <c r="F90" s="73">
        <v>35599.300000000003</v>
      </c>
      <c r="G90" s="119">
        <v>553.88400000000001</v>
      </c>
      <c r="H90" s="141">
        <v>23543.064999999999</v>
      </c>
      <c r="I90" s="115">
        <v>58.741</v>
      </c>
      <c r="J90" s="74">
        <v>66.134</v>
      </c>
      <c r="K90" s="72"/>
      <c r="L90" s="75"/>
      <c r="M90" s="75"/>
      <c r="N90" s="75"/>
      <c r="O90" s="75"/>
    </row>
    <row r="91" spans="1:15" s="110" customFormat="1" ht="22.5" x14ac:dyDescent="0.2">
      <c r="A91" s="109" t="s">
        <v>73</v>
      </c>
      <c r="B91" s="19" t="s">
        <v>75</v>
      </c>
      <c r="C91" s="19"/>
      <c r="D91" s="19"/>
      <c r="E91" s="45">
        <v>40079.5</v>
      </c>
      <c r="F91" s="45">
        <v>35599.300000000003</v>
      </c>
      <c r="G91" s="45">
        <v>553.88400000000001</v>
      </c>
      <c r="H91" s="142">
        <v>23540.419000000002</v>
      </c>
      <c r="I91" s="45">
        <v>58.734000000000002</v>
      </c>
      <c r="J91" s="45">
        <v>66.126000000000005</v>
      </c>
    </row>
    <row r="92" spans="1:15" ht="45" x14ac:dyDescent="0.2">
      <c r="A92" s="11" t="s">
        <v>76</v>
      </c>
      <c r="B92" s="12" t="s">
        <v>77</v>
      </c>
      <c r="C92" s="12"/>
      <c r="D92" s="12"/>
      <c r="E92" s="13">
        <v>40079.5</v>
      </c>
      <c r="F92" s="13">
        <v>35599.300000000003</v>
      </c>
      <c r="G92" s="13">
        <v>527.52599999999995</v>
      </c>
      <c r="H92" s="144">
        <v>23401.32</v>
      </c>
      <c r="I92" s="13">
        <v>58.387</v>
      </c>
      <c r="J92" s="13">
        <v>65.734999999999999</v>
      </c>
    </row>
    <row r="93" spans="1:15" ht="45" x14ac:dyDescent="0.2">
      <c r="A93" s="15" t="s">
        <v>76</v>
      </c>
      <c r="B93" s="16" t="s">
        <v>78</v>
      </c>
      <c r="C93" s="16" t="s">
        <v>23</v>
      </c>
      <c r="D93" s="16" t="s">
        <v>24</v>
      </c>
      <c r="E93" s="17">
        <v>40079.5</v>
      </c>
      <c r="F93" s="17">
        <v>35599.300000000003</v>
      </c>
      <c r="G93" s="17">
        <v>527.52599999999995</v>
      </c>
      <c r="H93" s="143">
        <v>23401.32</v>
      </c>
      <c r="I93" s="17">
        <v>58.387</v>
      </c>
      <c r="J93" s="17">
        <v>65.734999999999999</v>
      </c>
    </row>
    <row r="94" spans="1:15" ht="33.75" x14ac:dyDescent="0.2">
      <c r="A94" s="11" t="s">
        <v>79</v>
      </c>
      <c r="B94" s="12" t="s">
        <v>80</v>
      </c>
      <c r="C94" s="12"/>
      <c r="D94" s="12"/>
      <c r="E94" s="13"/>
      <c r="F94" s="13"/>
      <c r="G94" s="13">
        <v>13.648999999999999</v>
      </c>
      <c r="H94" s="144">
        <v>67.105999999999995</v>
      </c>
      <c r="I94" s="13"/>
      <c r="J94" s="13"/>
    </row>
    <row r="95" spans="1:15" ht="22.5" x14ac:dyDescent="0.2">
      <c r="A95" s="15" t="s">
        <v>79</v>
      </c>
      <c r="B95" s="16" t="s">
        <v>81</v>
      </c>
      <c r="C95" s="16" t="s">
        <v>23</v>
      </c>
      <c r="D95" s="16" t="s">
        <v>24</v>
      </c>
      <c r="E95" s="17"/>
      <c r="F95" s="17"/>
      <c r="G95" s="17">
        <v>13.648999999999999</v>
      </c>
      <c r="H95" s="143">
        <v>67.105999999999995</v>
      </c>
      <c r="I95" s="17"/>
      <c r="J95" s="17"/>
    </row>
    <row r="96" spans="1:15" ht="45" x14ac:dyDescent="0.2">
      <c r="A96" s="11" t="s">
        <v>82</v>
      </c>
      <c r="B96" s="12" t="s">
        <v>83</v>
      </c>
      <c r="C96" s="12"/>
      <c r="D96" s="12"/>
      <c r="E96" s="13"/>
      <c r="F96" s="13"/>
      <c r="G96" s="13">
        <v>12.746</v>
      </c>
      <c r="H96" s="144">
        <v>71.992999999999995</v>
      </c>
      <c r="I96" s="13"/>
      <c r="J96" s="13"/>
    </row>
    <row r="97" spans="1:15" ht="45" x14ac:dyDescent="0.2">
      <c r="A97" s="15" t="s">
        <v>82</v>
      </c>
      <c r="B97" s="16" t="s">
        <v>84</v>
      </c>
      <c r="C97" s="16" t="s">
        <v>23</v>
      </c>
      <c r="D97" s="16" t="s">
        <v>24</v>
      </c>
      <c r="E97" s="17"/>
      <c r="F97" s="17"/>
      <c r="G97" s="17">
        <v>12.746</v>
      </c>
      <c r="H97" s="143">
        <v>71.992999999999995</v>
      </c>
      <c r="I97" s="17"/>
      <c r="J97" s="17"/>
    </row>
    <row r="98" spans="1:15" ht="22.5" x14ac:dyDescent="0.2">
      <c r="A98" s="11" t="s">
        <v>85</v>
      </c>
      <c r="B98" s="12" t="s">
        <v>86</v>
      </c>
      <c r="C98" s="12"/>
      <c r="D98" s="12"/>
      <c r="E98" s="13"/>
      <c r="F98" s="13"/>
      <c r="G98" s="13">
        <v>-3.7999999999999999E-2</v>
      </c>
      <c r="H98" s="144"/>
      <c r="I98" s="13"/>
      <c r="J98" s="13"/>
    </row>
    <row r="99" spans="1:15" ht="22.5" x14ac:dyDescent="0.2">
      <c r="A99" s="15" t="s">
        <v>85</v>
      </c>
      <c r="B99" s="16" t="s">
        <v>87</v>
      </c>
      <c r="C99" s="16" t="s">
        <v>23</v>
      </c>
      <c r="D99" s="16" t="s">
        <v>24</v>
      </c>
      <c r="E99" s="17"/>
      <c r="F99" s="17"/>
      <c r="G99" s="17">
        <v>-3.7999999999999999E-2</v>
      </c>
      <c r="H99" s="143"/>
      <c r="I99" s="17"/>
      <c r="J99" s="17"/>
    </row>
    <row r="100" spans="1:15" s="110" customFormat="1" ht="33.75" x14ac:dyDescent="0.2">
      <c r="A100" s="109" t="s">
        <v>88</v>
      </c>
      <c r="B100" s="19" t="s">
        <v>89</v>
      </c>
      <c r="C100" s="19"/>
      <c r="D100" s="19"/>
      <c r="E100" s="45"/>
      <c r="F100" s="45"/>
      <c r="G100" s="45"/>
      <c r="H100" s="142">
        <v>2.6459999999999999</v>
      </c>
      <c r="I100" s="45"/>
      <c r="J100" s="45"/>
    </row>
    <row r="101" spans="1:15" ht="67.5" x14ac:dyDescent="0.2">
      <c r="A101" s="11" t="s">
        <v>90</v>
      </c>
      <c r="B101" s="12" t="s">
        <v>91</v>
      </c>
      <c r="C101" s="12"/>
      <c r="D101" s="12"/>
      <c r="E101" s="13"/>
      <c r="F101" s="13"/>
      <c r="G101" s="13"/>
      <c r="H101" s="144">
        <v>2.5489999999999999</v>
      </c>
      <c r="I101" s="13"/>
      <c r="J101" s="13"/>
    </row>
    <row r="102" spans="1:15" ht="56.25" x14ac:dyDescent="0.2">
      <c r="A102" s="15" t="s">
        <v>90</v>
      </c>
      <c r="B102" s="16" t="s">
        <v>92</v>
      </c>
      <c r="C102" s="16" t="s">
        <v>23</v>
      </c>
      <c r="D102" s="16" t="s">
        <v>24</v>
      </c>
      <c r="E102" s="17"/>
      <c r="F102" s="17"/>
      <c r="G102" s="17"/>
      <c r="H102" s="143">
        <v>2.5489999999999999</v>
      </c>
      <c r="I102" s="17"/>
      <c r="J102" s="17"/>
    </row>
    <row r="103" spans="1:15" ht="45" x14ac:dyDescent="0.2">
      <c r="A103" s="11" t="s">
        <v>93</v>
      </c>
      <c r="B103" s="12" t="s">
        <v>94</v>
      </c>
      <c r="C103" s="12"/>
      <c r="D103" s="12"/>
      <c r="E103" s="13"/>
      <c r="F103" s="13"/>
      <c r="G103" s="13"/>
      <c r="H103" s="144">
        <v>9.7000000000000003E-2</v>
      </c>
      <c r="I103" s="13"/>
      <c r="J103" s="13"/>
    </row>
    <row r="104" spans="1:15" ht="33.75" x14ac:dyDescent="0.2">
      <c r="A104" s="15" t="s">
        <v>93</v>
      </c>
      <c r="B104" s="16" t="s">
        <v>95</v>
      </c>
      <c r="C104" s="16" t="s">
        <v>23</v>
      </c>
      <c r="D104" s="16" t="s">
        <v>24</v>
      </c>
      <c r="E104" s="17"/>
      <c r="F104" s="17"/>
      <c r="G104" s="17"/>
      <c r="H104" s="143">
        <v>9.7000000000000003E-2</v>
      </c>
      <c r="I104" s="17"/>
      <c r="J104" s="17"/>
    </row>
    <row r="105" spans="1:15" s="76" customFormat="1" x14ac:dyDescent="0.2">
      <c r="A105" s="70" t="s">
        <v>97</v>
      </c>
      <c r="B105" s="71" t="s">
        <v>98</v>
      </c>
      <c r="C105" s="71"/>
      <c r="D105" s="71"/>
      <c r="E105" s="72">
        <v>815</v>
      </c>
      <c r="F105" s="73">
        <v>297</v>
      </c>
      <c r="G105" s="119">
        <v>0.55700000000000005</v>
      </c>
      <c r="H105" s="141">
        <v>299.07600000000002</v>
      </c>
      <c r="I105" s="115">
        <v>36.697000000000003</v>
      </c>
      <c r="J105" s="74">
        <v>100.699</v>
      </c>
      <c r="K105" s="72"/>
      <c r="L105" s="75"/>
      <c r="M105" s="75"/>
      <c r="N105" s="75"/>
      <c r="O105" s="75"/>
    </row>
    <row r="106" spans="1:15" s="110" customFormat="1" x14ac:dyDescent="0.2">
      <c r="A106" s="109" t="s">
        <v>97</v>
      </c>
      <c r="B106" s="19" t="s">
        <v>99</v>
      </c>
      <c r="C106" s="19"/>
      <c r="D106" s="19"/>
      <c r="E106" s="45">
        <v>815</v>
      </c>
      <c r="F106" s="45">
        <v>297</v>
      </c>
      <c r="G106" s="45">
        <v>0.55700000000000005</v>
      </c>
      <c r="H106" s="142">
        <v>299.07600000000002</v>
      </c>
      <c r="I106" s="45">
        <v>36.697000000000003</v>
      </c>
      <c r="J106" s="45">
        <v>100.699</v>
      </c>
    </row>
    <row r="107" spans="1:15" s="110" customFormat="1" x14ac:dyDescent="0.2">
      <c r="A107" s="123" t="s">
        <v>97</v>
      </c>
      <c r="B107" s="20" t="s">
        <v>100</v>
      </c>
      <c r="C107" s="20" t="s">
        <v>23</v>
      </c>
      <c r="D107" s="20" t="s">
        <v>24</v>
      </c>
      <c r="E107" s="93">
        <v>815</v>
      </c>
      <c r="F107" s="93">
        <v>297</v>
      </c>
      <c r="G107" s="93"/>
      <c r="H107" s="146"/>
      <c r="I107" s="93"/>
      <c r="J107" s="93"/>
    </row>
    <row r="108" spans="1:15" ht="45" x14ac:dyDescent="0.2">
      <c r="A108" s="11" t="s">
        <v>101</v>
      </c>
      <c r="B108" s="12" t="s">
        <v>102</v>
      </c>
      <c r="C108" s="12"/>
      <c r="D108" s="12"/>
      <c r="E108" s="13"/>
      <c r="F108" s="13"/>
      <c r="G108" s="13">
        <v>0.25</v>
      </c>
      <c r="H108" s="144">
        <v>296.85599999999999</v>
      </c>
      <c r="I108" s="13"/>
      <c r="J108" s="13"/>
    </row>
    <row r="109" spans="1:15" ht="45" x14ac:dyDescent="0.2">
      <c r="A109" s="15" t="s">
        <v>101</v>
      </c>
      <c r="B109" s="16" t="s">
        <v>103</v>
      </c>
      <c r="C109" s="16" t="s">
        <v>23</v>
      </c>
      <c r="D109" s="16" t="s">
        <v>24</v>
      </c>
      <c r="E109" s="17"/>
      <c r="F109" s="17"/>
      <c r="G109" s="17">
        <v>0.25</v>
      </c>
      <c r="H109" s="143">
        <v>296.85599999999999</v>
      </c>
      <c r="I109" s="17"/>
      <c r="J109" s="17"/>
    </row>
    <row r="110" spans="1:15" ht="22.5" x14ac:dyDescent="0.2">
      <c r="A110" s="11" t="s">
        <v>104</v>
      </c>
      <c r="B110" s="12" t="s">
        <v>105</v>
      </c>
      <c r="C110" s="12"/>
      <c r="D110" s="12"/>
      <c r="E110" s="13"/>
      <c r="F110" s="13"/>
      <c r="G110" s="13">
        <v>9.2999999999999999E-2</v>
      </c>
      <c r="H110" s="144">
        <v>0.28199999999999997</v>
      </c>
      <c r="I110" s="13"/>
      <c r="J110" s="13"/>
    </row>
    <row r="111" spans="1:15" ht="22.5" x14ac:dyDescent="0.2">
      <c r="A111" s="15" t="s">
        <v>104</v>
      </c>
      <c r="B111" s="16" t="s">
        <v>106</v>
      </c>
      <c r="C111" s="16" t="s">
        <v>23</v>
      </c>
      <c r="D111" s="16" t="s">
        <v>24</v>
      </c>
      <c r="E111" s="17"/>
      <c r="F111" s="17"/>
      <c r="G111" s="17">
        <v>9.2999999999999999E-2</v>
      </c>
      <c r="H111" s="143">
        <v>0.28199999999999997</v>
      </c>
      <c r="I111" s="17"/>
      <c r="J111" s="17"/>
    </row>
    <row r="112" spans="1:15" ht="45" x14ac:dyDescent="0.2">
      <c r="A112" s="11" t="s">
        <v>107</v>
      </c>
      <c r="B112" s="12" t="s">
        <v>108</v>
      </c>
      <c r="C112" s="12"/>
      <c r="D112" s="12"/>
      <c r="E112" s="13"/>
      <c r="F112" s="13"/>
      <c r="G112" s="13">
        <v>0.214</v>
      </c>
      <c r="H112" s="144">
        <v>1.9390000000000001</v>
      </c>
      <c r="I112" s="13"/>
      <c r="J112" s="13"/>
    </row>
    <row r="113" spans="1:15" ht="33.75" x14ac:dyDescent="0.2">
      <c r="A113" s="15" t="s">
        <v>107</v>
      </c>
      <c r="B113" s="16" t="s">
        <v>109</v>
      </c>
      <c r="C113" s="16" t="s">
        <v>23</v>
      </c>
      <c r="D113" s="16" t="s">
        <v>24</v>
      </c>
      <c r="E113" s="17"/>
      <c r="F113" s="17"/>
      <c r="G113" s="17">
        <v>0.214</v>
      </c>
      <c r="H113" s="143">
        <v>1.9390000000000001</v>
      </c>
      <c r="I113" s="17"/>
      <c r="J113" s="17"/>
    </row>
    <row r="114" spans="1:15" s="76" customFormat="1" ht="22.5" x14ac:dyDescent="0.2">
      <c r="A114" s="70" t="s">
        <v>112</v>
      </c>
      <c r="B114" s="71" t="s">
        <v>113</v>
      </c>
      <c r="C114" s="71"/>
      <c r="D114" s="71"/>
      <c r="E114" s="72">
        <v>44</v>
      </c>
      <c r="F114" s="73">
        <v>62.6</v>
      </c>
      <c r="G114" s="119"/>
      <c r="H114" s="141">
        <v>56.152999999999999</v>
      </c>
      <c r="I114" s="115">
        <v>127.621</v>
      </c>
      <c r="J114" s="74">
        <v>89.701999999999998</v>
      </c>
      <c r="K114" s="72"/>
      <c r="L114" s="75"/>
      <c r="M114" s="75"/>
      <c r="N114" s="75"/>
      <c r="O114" s="75"/>
    </row>
    <row r="115" spans="1:15" s="110" customFormat="1" ht="33.75" x14ac:dyDescent="0.2">
      <c r="A115" s="109" t="s">
        <v>559</v>
      </c>
      <c r="B115" s="19" t="s">
        <v>115</v>
      </c>
      <c r="C115" s="19"/>
      <c r="D115" s="19"/>
      <c r="E115" s="45">
        <v>44</v>
      </c>
      <c r="F115" s="45">
        <v>62.6</v>
      </c>
      <c r="G115" s="45"/>
      <c r="H115" s="142">
        <v>56.152999999999999</v>
      </c>
      <c r="I115" s="45">
        <v>127.621</v>
      </c>
      <c r="J115" s="45">
        <v>89.701999999999998</v>
      </c>
    </row>
    <row r="116" spans="1:15" ht="33.75" x14ac:dyDescent="0.2">
      <c r="A116" s="15" t="s">
        <v>559</v>
      </c>
      <c r="B116" s="16" t="s">
        <v>444</v>
      </c>
      <c r="C116" s="16" t="s">
        <v>23</v>
      </c>
      <c r="D116" s="16" t="s">
        <v>24</v>
      </c>
      <c r="E116" s="17">
        <v>44</v>
      </c>
      <c r="F116" s="17">
        <v>62.6</v>
      </c>
      <c r="G116" s="17"/>
      <c r="H116" s="143"/>
      <c r="I116" s="17"/>
      <c r="J116" s="17"/>
    </row>
    <row r="117" spans="1:15" ht="67.5" x14ac:dyDescent="0.2">
      <c r="A117" s="11" t="s">
        <v>116</v>
      </c>
      <c r="B117" s="12" t="s">
        <v>117</v>
      </c>
      <c r="C117" s="12"/>
      <c r="D117" s="12"/>
      <c r="E117" s="13"/>
      <c r="F117" s="13"/>
      <c r="G117" s="13"/>
      <c r="H117" s="144">
        <v>56.1</v>
      </c>
      <c r="I117" s="13"/>
      <c r="J117" s="13"/>
    </row>
    <row r="118" spans="1:15" ht="56.25" x14ac:dyDescent="0.2">
      <c r="A118" s="15" t="s">
        <v>116</v>
      </c>
      <c r="B118" s="16" t="s">
        <v>118</v>
      </c>
      <c r="C118" s="16" t="s">
        <v>23</v>
      </c>
      <c r="D118" s="16" t="s">
        <v>24</v>
      </c>
      <c r="E118" s="17"/>
      <c r="F118" s="17"/>
      <c r="G118" s="17"/>
      <c r="H118" s="143">
        <v>56.1</v>
      </c>
      <c r="I118" s="17"/>
      <c r="J118" s="17"/>
    </row>
    <row r="119" spans="1:15" ht="45" x14ac:dyDescent="0.2">
      <c r="A119" s="11" t="s">
        <v>119</v>
      </c>
      <c r="B119" s="12" t="s">
        <v>739</v>
      </c>
      <c r="C119" s="12"/>
      <c r="D119" s="12"/>
      <c r="E119" s="13"/>
      <c r="F119" s="13"/>
      <c r="G119" s="13"/>
      <c r="H119" s="144">
        <v>5.2999999999999999E-2</v>
      </c>
      <c r="I119" s="13"/>
      <c r="J119" s="13"/>
    </row>
    <row r="120" spans="1:15" ht="45" x14ac:dyDescent="0.2">
      <c r="A120" s="15" t="s">
        <v>119</v>
      </c>
      <c r="B120" s="16" t="s">
        <v>740</v>
      </c>
      <c r="C120" s="16" t="s">
        <v>23</v>
      </c>
      <c r="D120" s="16" t="s">
        <v>24</v>
      </c>
      <c r="E120" s="17"/>
      <c r="F120" s="17"/>
      <c r="G120" s="17"/>
      <c r="H120" s="143">
        <v>5.2999999999999999E-2</v>
      </c>
      <c r="I120" s="17"/>
      <c r="J120" s="17"/>
    </row>
    <row r="121" spans="1:15" s="66" customFormat="1" ht="12" x14ac:dyDescent="0.2">
      <c r="A121" s="60" t="s">
        <v>120</v>
      </c>
      <c r="B121" s="77" t="s">
        <v>121</v>
      </c>
      <c r="C121" s="61"/>
      <c r="D121" s="61"/>
      <c r="E121" s="62">
        <v>8120</v>
      </c>
      <c r="F121" s="63">
        <v>9742.2000000000007</v>
      </c>
      <c r="G121" s="116">
        <v>744.1</v>
      </c>
      <c r="H121" s="140">
        <v>7108.1480000000001</v>
      </c>
      <c r="I121" s="112">
        <v>87.539000000000001</v>
      </c>
      <c r="J121" s="64">
        <v>72.962999999999994</v>
      </c>
      <c r="K121" s="62"/>
      <c r="L121" s="62"/>
    </row>
    <row r="122" spans="1:15" ht="33.75" x14ac:dyDescent="0.2">
      <c r="A122" s="11" t="s">
        <v>122</v>
      </c>
      <c r="B122" s="12" t="s">
        <v>123</v>
      </c>
      <c r="C122" s="12"/>
      <c r="D122" s="12"/>
      <c r="E122" s="13">
        <v>8100</v>
      </c>
      <c r="F122" s="13">
        <v>9722.2000000000007</v>
      </c>
      <c r="G122" s="13">
        <v>744.1</v>
      </c>
      <c r="H122" s="144">
        <v>7108.1480000000001</v>
      </c>
      <c r="I122" s="13">
        <v>87.754999999999995</v>
      </c>
      <c r="J122" s="13">
        <v>73.113</v>
      </c>
    </row>
    <row r="123" spans="1:15" ht="45" x14ac:dyDescent="0.2">
      <c r="A123" s="11" t="s">
        <v>124</v>
      </c>
      <c r="B123" s="12" t="s">
        <v>125</v>
      </c>
      <c r="C123" s="12"/>
      <c r="D123" s="12"/>
      <c r="E123" s="13">
        <v>8100</v>
      </c>
      <c r="F123" s="13">
        <v>9722.2000000000007</v>
      </c>
      <c r="G123" s="13">
        <v>744.1</v>
      </c>
      <c r="H123" s="144">
        <v>7108.1480000000001</v>
      </c>
      <c r="I123" s="13">
        <v>87.754999999999995</v>
      </c>
      <c r="J123" s="13">
        <v>73.113</v>
      </c>
    </row>
    <row r="124" spans="1:15" ht="33.75" x14ac:dyDescent="0.2">
      <c r="A124" s="15" t="s">
        <v>124</v>
      </c>
      <c r="B124" s="16" t="s">
        <v>126</v>
      </c>
      <c r="C124" s="16" t="s">
        <v>23</v>
      </c>
      <c r="D124" s="16" t="s">
        <v>24</v>
      </c>
      <c r="E124" s="17">
        <v>8100</v>
      </c>
      <c r="F124" s="17">
        <v>9722.2000000000007</v>
      </c>
      <c r="G124" s="17"/>
      <c r="H124" s="143"/>
      <c r="I124" s="17"/>
      <c r="J124" s="17"/>
    </row>
    <row r="125" spans="1:15" ht="78.75" x14ac:dyDescent="0.2">
      <c r="A125" s="14" t="s">
        <v>127</v>
      </c>
      <c r="B125" s="12" t="s">
        <v>128</v>
      </c>
      <c r="C125" s="12"/>
      <c r="D125" s="12"/>
      <c r="E125" s="13"/>
      <c r="F125" s="13"/>
      <c r="G125" s="13">
        <v>744.1</v>
      </c>
      <c r="H125" s="144">
        <v>7108.4480000000003</v>
      </c>
      <c r="I125" s="13"/>
      <c r="J125" s="13"/>
    </row>
    <row r="126" spans="1:15" s="110" customFormat="1" ht="67.5" x14ac:dyDescent="0.2">
      <c r="A126" s="134" t="s">
        <v>127</v>
      </c>
      <c r="B126" s="20" t="s">
        <v>129</v>
      </c>
      <c r="C126" s="20" t="s">
        <v>23</v>
      </c>
      <c r="D126" s="20" t="s">
        <v>24</v>
      </c>
      <c r="E126" s="93"/>
      <c r="F126" s="93"/>
      <c r="G126" s="93">
        <v>744.1</v>
      </c>
      <c r="H126" s="146">
        <v>7108.4480000000003</v>
      </c>
      <c r="I126" s="93"/>
      <c r="J126" s="93"/>
    </row>
    <row r="127" spans="1:15" ht="45" x14ac:dyDescent="0.2">
      <c r="A127" s="11" t="s">
        <v>560</v>
      </c>
      <c r="B127" s="12" t="s">
        <v>561</v>
      </c>
      <c r="C127" s="12"/>
      <c r="D127" s="12"/>
      <c r="E127" s="13"/>
      <c r="F127" s="13"/>
      <c r="G127" s="13"/>
      <c r="H127" s="144">
        <v>-0.3</v>
      </c>
      <c r="I127" s="13"/>
      <c r="J127" s="13"/>
    </row>
    <row r="128" spans="1:15" s="110" customFormat="1" ht="45" x14ac:dyDescent="0.2">
      <c r="A128" s="123" t="s">
        <v>560</v>
      </c>
      <c r="B128" s="20" t="s">
        <v>562</v>
      </c>
      <c r="C128" s="20" t="s">
        <v>23</v>
      </c>
      <c r="D128" s="20" t="s">
        <v>24</v>
      </c>
      <c r="E128" s="93"/>
      <c r="F128" s="93"/>
      <c r="G128" s="93"/>
      <c r="H128" s="146">
        <v>-0.3</v>
      </c>
      <c r="I128" s="93"/>
      <c r="J128" s="93"/>
    </row>
    <row r="129" spans="1:15" ht="33.75" x14ac:dyDescent="0.2">
      <c r="A129" s="11" t="s">
        <v>130</v>
      </c>
      <c r="B129" s="12" t="s">
        <v>131</v>
      </c>
      <c r="C129" s="12"/>
      <c r="D129" s="12"/>
      <c r="E129" s="13">
        <v>20</v>
      </c>
      <c r="F129" s="13">
        <v>20</v>
      </c>
      <c r="G129" s="13"/>
      <c r="H129" s="144"/>
      <c r="I129" s="13"/>
      <c r="J129" s="13"/>
    </row>
    <row r="130" spans="1:15" ht="22.5" x14ac:dyDescent="0.2">
      <c r="A130" s="11" t="s">
        <v>134</v>
      </c>
      <c r="B130" s="12" t="s">
        <v>135</v>
      </c>
      <c r="C130" s="12"/>
      <c r="D130" s="12"/>
      <c r="E130" s="13">
        <v>20</v>
      </c>
      <c r="F130" s="13">
        <v>20</v>
      </c>
      <c r="G130" s="13"/>
      <c r="H130" s="144"/>
      <c r="I130" s="13"/>
      <c r="J130" s="13"/>
    </row>
    <row r="131" spans="1:15" ht="22.5" x14ac:dyDescent="0.2">
      <c r="A131" s="15" t="s">
        <v>134</v>
      </c>
      <c r="B131" s="16" t="s">
        <v>136</v>
      </c>
      <c r="C131" s="16" t="s">
        <v>23</v>
      </c>
      <c r="D131" s="16" t="s">
        <v>24</v>
      </c>
      <c r="E131" s="17">
        <v>20</v>
      </c>
      <c r="F131" s="17">
        <v>20</v>
      </c>
      <c r="G131" s="17"/>
      <c r="H131" s="143"/>
      <c r="I131" s="17"/>
      <c r="J131" s="17"/>
    </row>
    <row r="132" spans="1:15" s="84" customFormat="1" ht="36" x14ac:dyDescent="0.2">
      <c r="A132" s="78" t="s">
        <v>138</v>
      </c>
      <c r="B132" s="79" t="s">
        <v>139</v>
      </c>
      <c r="C132" s="80"/>
      <c r="D132" s="80"/>
      <c r="E132" s="81"/>
      <c r="F132" s="82"/>
      <c r="G132" s="120"/>
      <c r="H132" s="140">
        <v>0.19500000000000001</v>
      </c>
      <c r="I132" s="112"/>
      <c r="J132" s="83"/>
      <c r="K132" s="81"/>
      <c r="L132" s="81"/>
    </row>
    <row r="133" spans="1:15" ht="22.5" x14ac:dyDescent="0.2">
      <c r="A133" s="11" t="s">
        <v>741</v>
      </c>
      <c r="B133" s="12" t="s">
        <v>742</v>
      </c>
      <c r="C133" s="12"/>
      <c r="D133" s="12"/>
      <c r="E133" s="13"/>
      <c r="F133" s="13"/>
      <c r="G133" s="13"/>
      <c r="H133" s="144">
        <v>0.19500000000000001</v>
      </c>
      <c r="I133" s="13"/>
      <c r="J133" s="13"/>
    </row>
    <row r="134" spans="1:15" x14ac:dyDescent="0.2">
      <c r="A134" s="11" t="s">
        <v>743</v>
      </c>
      <c r="B134" s="12" t="s">
        <v>744</v>
      </c>
      <c r="C134" s="12"/>
      <c r="D134" s="12"/>
      <c r="E134" s="13"/>
      <c r="F134" s="13"/>
      <c r="G134" s="13"/>
      <c r="H134" s="144">
        <v>0.19500000000000001</v>
      </c>
      <c r="I134" s="13"/>
      <c r="J134" s="13"/>
    </row>
    <row r="135" spans="1:15" ht="22.5" x14ac:dyDescent="0.2">
      <c r="A135" s="11" t="s">
        <v>745</v>
      </c>
      <c r="B135" s="12" t="s">
        <v>746</v>
      </c>
      <c r="C135" s="12"/>
      <c r="D135" s="12"/>
      <c r="E135" s="13"/>
      <c r="F135" s="13"/>
      <c r="G135" s="13"/>
      <c r="H135" s="144">
        <v>0.19500000000000001</v>
      </c>
      <c r="I135" s="13"/>
      <c r="J135" s="13"/>
    </row>
    <row r="136" spans="1:15" x14ac:dyDescent="0.2">
      <c r="A136" s="15" t="s">
        <v>745</v>
      </c>
      <c r="B136" s="16" t="s">
        <v>747</v>
      </c>
      <c r="C136" s="16" t="s">
        <v>23</v>
      </c>
      <c r="D136" s="16" t="s">
        <v>24</v>
      </c>
      <c r="E136" s="17"/>
      <c r="F136" s="17"/>
      <c r="G136" s="17"/>
      <c r="H136" s="143">
        <v>0.19500000000000001</v>
      </c>
      <c r="I136" s="17"/>
      <c r="J136" s="17"/>
    </row>
    <row r="137" spans="1:15" s="84" customFormat="1" ht="36" x14ac:dyDescent="0.2">
      <c r="A137" s="78" t="s">
        <v>144</v>
      </c>
      <c r="B137" s="79" t="s">
        <v>145</v>
      </c>
      <c r="C137" s="80"/>
      <c r="D137" s="80"/>
      <c r="E137" s="81">
        <v>9290.1479999999992</v>
      </c>
      <c r="F137" s="82">
        <v>14898.968999999999</v>
      </c>
      <c r="G137" s="120">
        <v>841.40099999999995</v>
      </c>
      <c r="H137" s="140">
        <v>12555.031999999999</v>
      </c>
      <c r="I137" s="112">
        <v>135.14400000000001</v>
      </c>
      <c r="J137" s="83">
        <v>84.268000000000001</v>
      </c>
      <c r="K137" s="81"/>
      <c r="L137" s="81"/>
    </row>
    <row r="138" spans="1:15" s="66" customFormat="1" ht="24" x14ac:dyDescent="0.2">
      <c r="A138" s="60" t="s">
        <v>146</v>
      </c>
      <c r="B138" s="61" t="s">
        <v>147</v>
      </c>
      <c r="C138" s="61"/>
      <c r="D138" s="61"/>
      <c r="E138" s="62">
        <v>7.9480000000000004</v>
      </c>
      <c r="F138" s="63">
        <v>8.3689999999999998</v>
      </c>
      <c r="G138" s="112"/>
      <c r="H138" s="140"/>
      <c r="I138" s="112"/>
      <c r="J138" s="64"/>
      <c r="K138" s="62"/>
      <c r="L138" s="62"/>
    </row>
    <row r="139" spans="1:15" ht="33.75" x14ac:dyDescent="0.2">
      <c r="A139" s="11" t="s">
        <v>148</v>
      </c>
      <c r="B139" s="12" t="s">
        <v>149</v>
      </c>
      <c r="C139" s="12"/>
      <c r="D139" s="12"/>
      <c r="E139" s="13">
        <v>7.9480000000000004</v>
      </c>
      <c r="F139" s="13">
        <v>8.3689999999999998</v>
      </c>
      <c r="G139" s="13"/>
      <c r="H139" s="144"/>
      <c r="I139" s="13"/>
      <c r="J139" s="13"/>
    </row>
    <row r="140" spans="1:15" ht="33.75" x14ac:dyDescent="0.2">
      <c r="A140" s="15" t="s">
        <v>148</v>
      </c>
      <c r="B140" s="16" t="s">
        <v>150</v>
      </c>
      <c r="C140" s="16" t="s">
        <v>23</v>
      </c>
      <c r="D140" s="16" t="s">
        <v>24</v>
      </c>
      <c r="E140" s="17">
        <v>7.9480000000000004</v>
      </c>
      <c r="F140" s="17">
        <v>8.3689999999999998</v>
      </c>
      <c r="G140" s="17"/>
      <c r="H140" s="143"/>
      <c r="I140" s="17">
        <f>G142+G149</f>
        <v>819.60199999999998</v>
      </c>
      <c r="J140" s="17"/>
    </row>
    <row r="141" spans="1:15" s="91" customFormat="1" ht="84" x14ac:dyDescent="0.2">
      <c r="A141" s="85" t="s">
        <v>151</v>
      </c>
      <c r="B141" s="86" t="s">
        <v>152</v>
      </c>
      <c r="C141" s="86"/>
      <c r="D141" s="86"/>
      <c r="E141" s="87">
        <v>8342.2000000000007</v>
      </c>
      <c r="F141" s="88">
        <v>13950.6</v>
      </c>
      <c r="G141" s="121">
        <v>825.40099999999995</v>
      </c>
      <c r="H141" s="140">
        <v>11793.391</v>
      </c>
      <c r="I141" s="112">
        <v>141.37</v>
      </c>
      <c r="J141" s="89">
        <v>84.537000000000006</v>
      </c>
      <c r="K141" s="87"/>
      <c r="L141" s="87"/>
      <c r="M141" s="90"/>
      <c r="N141" s="90"/>
    </row>
    <row r="142" spans="1:15" s="66" customFormat="1" ht="72" x14ac:dyDescent="0.2">
      <c r="A142" s="60" t="s">
        <v>153</v>
      </c>
      <c r="B142" s="61" t="s">
        <v>154</v>
      </c>
      <c r="C142" s="61"/>
      <c r="D142" s="61"/>
      <c r="E142" s="62">
        <v>8320.2000000000007</v>
      </c>
      <c r="F142" s="63">
        <v>13470.1</v>
      </c>
      <c r="G142" s="116">
        <v>810.447</v>
      </c>
      <c r="H142" s="140">
        <v>11307.491</v>
      </c>
      <c r="I142" s="112">
        <v>135.904</v>
      </c>
      <c r="J142" s="64">
        <v>83.944999999999993</v>
      </c>
      <c r="K142" s="62"/>
      <c r="L142" s="62"/>
      <c r="M142" s="65"/>
      <c r="N142" s="65"/>
      <c r="O142" s="65"/>
    </row>
    <row r="143" spans="1:15" ht="78.75" x14ac:dyDescent="0.2">
      <c r="A143" s="14" t="s">
        <v>748</v>
      </c>
      <c r="B143" s="12" t="s">
        <v>469</v>
      </c>
      <c r="C143" s="12"/>
      <c r="D143" s="12"/>
      <c r="E143" s="13">
        <v>4099.6000000000004</v>
      </c>
      <c r="F143" s="13">
        <v>4316</v>
      </c>
      <c r="G143" s="13">
        <v>38</v>
      </c>
      <c r="H143" s="144">
        <v>3301.2930000000001</v>
      </c>
      <c r="I143" s="13">
        <v>80.527000000000001</v>
      </c>
      <c r="J143" s="13">
        <v>76.489999999999995</v>
      </c>
    </row>
    <row r="144" spans="1:15" s="110" customFormat="1" ht="78.75" x14ac:dyDescent="0.2">
      <c r="A144" s="134" t="s">
        <v>748</v>
      </c>
      <c r="B144" s="20" t="s">
        <v>470</v>
      </c>
      <c r="C144" s="20" t="s">
        <v>23</v>
      </c>
      <c r="D144" s="20" t="s">
        <v>24</v>
      </c>
      <c r="E144" s="93">
        <v>4099.6000000000004</v>
      </c>
      <c r="F144" s="93">
        <v>4316</v>
      </c>
      <c r="G144" s="93">
        <v>38</v>
      </c>
      <c r="H144" s="146">
        <v>3301.2930000000001</v>
      </c>
      <c r="I144" s="93">
        <v>80.527000000000001</v>
      </c>
      <c r="J144" s="93">
        <v>76.489999999999995</v>
      </c>
    </row>
    <row r="145" spans="1:15" ht="67.5" x14ac:dyDescent="0.2">
      <c r="A145" s="14" t="s">
        <v>155</v>
      </c>
      <c r="B145" s="12" t="s">
        <v>156</v>
      </c>
      <c r="C145" s="12"/>
      <c r="D145" s="12"/>
      <c r="E145" s="13">
        <v>4220.6000000000004</v>
      </c>
      <c r="F145" s="13">
        <v>9154.1</v>
      </c>
      <c r="G145" s="13">
        <v>772.447</v>
      </c>
      <c r="H145" s="144">
        <v>8006.1980000000003</v>
      </c>
      <c r="I145" s="13">
        <v>189.69300000000001</v>
      </c>
      <c r="J145" s="13">
        <v>87.46</v>
      </c>
    </row>
    <row r="146" spans="1:15" s="110" customFormat="1" ht="67.5" x14ac:dyDescent="0.2">
      <c r="A146" s="134" t="s">
        <v>155</v>
      </c>
      <c r="B146" s="20" t="s">
        <v>157</v>
      </c>
      <c r="C146" s="20" t="s">
        <v>23</v>
      </c>
      <c r="D146" s="20" t="s">
        <v>24</v>
      </c>
      <c r="E146" s="93">
        <v>1934</v>
      </c>
      <c r="F146" s="93">
        <v>2005</v>
      </c>
      <c r="G146" s="93">
        <v>9.4499999999999993</v>
      </c>
      <c r="H146" s="146">
        <v>1247.3620000000001</v>
      </c>
      <c r="I146" s="93">
        <v>64.497</v>
      </c>
      <c r="J146" s="93">
        <v>62.213000000000001</v>
      </c>
    </row>
    <row r="147" spans="1:15" s="110" customFormat="1" ht="67.5" x14ac:dyDescent="0.2">
      <c r="A147" s="134" t="s">
        <v>155</v>
      </c>
      <c r="B147" s="20" t="s">
        <v>158</v>
      </c>
      <c r="C147" s="20" t="s">
        <v>23</v>
      </c>
      <c r="D147" s="20" t="s">
        <v>24</v>
      </c>
      <c r="E147" s="93">
        <v>832.8</v>
      </c>
      <c r="F147" s="93">
        <v>2641.7</v>
      </c>
      <c r="G147" s="93">
        <v>420.82799999999997</v>
      </c>
      <c r="H147" s="146">
        <v>1876.9359999999999</v>
      </c>
      <c r="I147" s="93">
        <v>225.37700000000001</v>
      </c>
      <c r="J147" s="93">
        <v>71.05</v>
      </c>
    </row>
    <row r="148" spans="1:15" s="110" customFormat="1" ht="67.5" x14ac:dyDescent="0.2">
      <c r="A148" s="134" t="s">
        <v>155</v>
      </c>
      <c r="B148" s="20" t="s">
        <v>159</v>
      </c>
      <c r="C148" s="20" t="s">
        <v>23</v>
      </c>
      <c r="D148" s="20" t="s">
        <v>24</v>
      </c>
      <c r="E148" s="93">
        <v>1453.8</v>
      </c>
      <c r="F148" s="93">
        <v>4507.3999999999996</v>
      </c>
      <c r="G148" s="93">
        <v>342.16800000000001</v>
      </c>
      <c r="H148" s="146">
        <v>4881.8999999999996</v>
      </c>
      <c r="I148" s="93">
        <v>335.803</v>
      </c>
      <c r="J148" s="93">
        <v>108.309</v>
      </c>
    </row>
    <row r="149" spans="1:15" s="66" customFormat="1" ht="84" x14ac:dyDescent="0.2">
      <c r="A149" s="122" t="s">
        <v>471</v>
      </c>
      <c r="B149" s="61" t="s">
        <v>563</v>
      </c>
      <c r="C149" s="61"/>
      <c r="D149" s="61"/>
      <c r="E149" s="62"/>
      <c r="F149" s="63">
        <v>458.5</v>
      </c>
      <c r="G149" s="116">
        <v>9.1549999999999994</v>
      </c>
      <c r="H149" s="140">
        <v>467.57400000000001</v>
      </c>
      <c r="I149" s="112"/>
      <c r="J149" s="64">
        <v>101.979</v>
      </c>
      <c r="K149" s="62"/>
      <c r="L149" s="62"/>
      <c r="M149" s="65"/>
      <c r="N149" s="65"/>
      <c r="O149" s="65"/>
    </row>
    <row r="150" spans="1:15" ht="67.5" x14ac:dyDescent="0.2">
      <c r="A150" s="11" t="s">
        <v>473</v>
      </c>
      <c r="B150" s="12" t="s">
        <v>472</v>
      </c>
      <c r="C150" s="12"/>
      <c r="D150" s="12"/>
      <c r="E150" s="13"/>
      <c r="F150" s="13">
        <v>458.5</v>
      </c>
      <c r="G150" s="13">
        <v>9.1549999999999994</v>
      </c>
      <c r="H150" s="144">
        <v>467.57400000000001</v>
      </c>
      <c r="I150" s="13"/>
      <c r="J150" s="13">
        <v>101.979</v>
      </c>
    </row>
    <row r="151" spans="1:15" ht="67.5" x14ac:dyDescent="0.2">
      <c r="A151" s="15" t="s">
        <v>473</v>
      </c>
      <c r="B151" s="16" t="s">
        <v>474</v>
      </c>
      <c r="C151" s="16" t="s">
        <v>23</v>
      </c>
      <c r="D151" s="16" t="s">
        <v>24</v>
      </c>
      <c r="E151" s="17"/>
      <c r="F151" s="17">
        <v>458.5</v>
      </c>
      <c r="G151" s="17">
        <v>9.1549999999999994</v>
      </c>
      <c r="H151" s="143">
        <v>467.57400000000001</v>
      </c>
      <c r="I151" s="17"/>
      <c r="J151" s="17">
        <v>101.979</v>
      </c>
    </row>
    <row r="152" spans="1:15" s="66" customFormat="1" ht="84" x14ac:dyDescent="0.2">
      <c r="A152" s="92" t="s">
        <v>160</v>
      </c>
      <c r="B152" s="61" t="s">
        <v>161</v>
      </c>
      <c r="C152" s="61"/>
      <c r="D152" s="61"/>
      <c r="E152" s="62">
        <v>22</v>
      </c>
      <c r="F152" s="63">
        <v>22</v>
      </c>
      <c r="G152" s="116">
        <v>5.8</v>
      </c>
      <c r="H152" s="140">
        <v>18.327000000000002</v>
      </c>
      <c r="I152" s="112">
        <v>83.305000000000007</v>
      </c>
      <c r="J152" s="64">
        <v>83.305000000000007</v>
      </c>
      <c r="K152" s="62"/>
      <c r="L152" s="62"/>
    </row>
    <row r="153" spans="1:15" ht="67.5" x14ac:dyDescent="0.2">
      <c r="A153" s="11" t="s">
        <v>162</v>
      </c>
      <c r="B153" s="12" t="s">
        <v>163</v>
      </c>
      <c r="C153" s="12"/>
      <c r="D153" s="12"/>
      <c r="E153" s="13">
        <v>22</v>
      </c>
      <c r="F153" s="13">
        <v>22</v>
      </c>
      <c r="G153" s="13">
        <v>5.8</v>
      </c>
      <c r="H153" s="144">
        <v>18.327000000000002</v>
      </c>
      <c r="I153" s="13">
        <v>83.305000000000007</v>
      </c>
      <c r="J153" s="13">
        <v>83.305000000000007</v>
      </c>
    </row>
    <row r="154" spans="1:15" ht="56.25" x14ac:dyDescent="0.2">
      <c r="A154" s="15" t="s">
        <v>162</v>
      </c>
      <c r="B154" s="16" t="s">
        <v>164</v>
      </c>
      <c r="C154" s="16" t="s">
        <v>23</v>
      </c>
      <c r="D154" s="16" t="s">
        <v>24</v>
      </c>
      <c r="E154" s="17">
        <v>22</v>
      </c>
      <c r="F154" s="17">
        <v>22</v>
      </c>
      <c r="G154" s="17">
        <v>5.8</v>
      </c>
      <c r="H154" s="143">
        <v>18.327000000000002</v>
      </c>
      <c r="I154" s="17">
        <v>83.305000000000007</v>
      </c>
      <c r="J154" s="17">
        <v>83.305000000000007</v>
      </c>
    </row>
    <row r="155" spans="1:15" s="66" customFormat="1" ht="84" x14ac:dyDescent="0.2">
      <c r="A155" s="92" t="s">
        <v>165</v>
      </c>
      <c r="B155" s="61" t="s">
        <v>166</v>
      </c>
      <c r="C155" s="61"/>
      <c r="D155" s="61"/>
      <c r="E155" s="62">
        <v>940</v>
      </c>
      <c r="F155" s="63">
        <v>940</v>
      </c>
      <c r="G155" s="112">
        <v>16</v>
      </c>
      <c r="H155" s="140">
        <v>761.64099999999996</v>
      </c>
      <c r="I155" s="112">
        <v>81.025999999999996</v>
      </c>
      <c r="J155" s="64">
        <v>81.025999999999996</v>
      </c>
      <c r="K155" s="62"/>
      <c r="L155" s="62"/>
    </row>
    <row r="156" spans="1:15" ht="67.5" x14ac:dyDescent="0.2">
      <c r="A156" s="14" t="s">
        <v>167</v>
      </c>
      <c r="B156" s="12" t="s">
        <v>168</v>
      </c>
      <c r="C156" s="12"/>
      <c r="D156" s="12"/>
      <c r="E156" s="13">
        <v>940</v>
      </c>
      <c r="F156" s="13">
        <v>940</v>
      </c>
      <c r="G156" s="13">
        <v>16</v>
      </c>
      <c r="H156" s="144">
        <v>761.64099999999996</v>
      </c>
      <c r="I156" s="13">
        <v>81.025999999999996</v>
      </c>
      <c r="J156" s="13">
        <v>81.025999999999996</v>
      </c>
    </row>
    <row r="157" spans="1:15" ht="67.5" x14ac:dyDescent="0.2">
      <c r="A157" s="11" t="s">
        <v>169</v>
      </c>
      <c r="B157" s="12" t="s">
        <v>170</v>
      </c>
      <c r="C157" s="12"/>
      <c r="D157" s="12"/>
      <c r="E157" s="13">
        <v>940</v>
      </c>
      <c r="F157" s="13">
        <v>940</v>
      </c>
      <c r="G157" s="13">
        <v>16</v>
      </c>
      <c r="H157" s="144">
        <v>761.64099999999996</v>
      </c>
      <c r="I157" s="13">
        <v>81.025999999999996</v>
      </c>
      <c r="J157" s="13">
        <v>81.025999999999996</v>
      </c>
    </row>
    <row r="158" spans="1:15" ht="67.5" x14ac:dyDescent="0.2">
      <c r="A158" s="15" t="s">
        <v>169</v>
      </c>
      <c r="B158" s="16" t="s">
        <v>171</v>
      </c>
      <c r="C158" s="16" t="s">
        <v>23</v>
      </c>
      <c r="D158" s="16" t="s">
        <v>24</v>
      </c>
      <c r="E158" s="17">
        <v>940</v>
      </c>
      <c r="F158" s="17">
        <v>940</v>
      </c>
      <c r="G158" s="17">
        <v>16</v>
      </c>
      <c r="H158" s="143">
        <v>761.64099999999996</v>
      </c>
      <c r="I158" s="17">
        <v>81.025999999999996</v>
      </c>
      <c r="J158" s="17">
        <v>81.025999999999996</v>
      </c>
    </row>
    <row r="159" spans="1:15" s="66" customFormat="1" ht="24" x14ac:dyDescent="0.2">
      <c r="A159" s="60" t="s">
        <v>172</v>
      </c>
      <c r="B159" s="61" t="s">
        <v>173</v>
      </c>
      <c r="C159" s="61"/>
      <c r="D159" s="61"/>
      <c r="E159" s="62">
        <v>1532</v>
      </c>
      <c r="F159" s="63">
        <v>989</v>
      </c>
      <c r="G159" s="116">
        <v>1.2569999999999999</v>
      </c>
      <c r="H159" s="140">
        <v>644.59100000000001</v>
      </c>
      <c r="I159" s="112">
        <v>42.075000000000003</v>
      </c>
      <c r="J159" s="64">
        <v>65.176000000000002</v>
      </c>
      <c r="K159" s="62"/>
      <c r="L159" s="62"/>
    </row>
    <row r="160" spans="1:15" ht="22.5" x14ac:dyDescent="0.2">
      <c r="A160" s="11" t="s">
        <v>174</v>
      </c>
      <c r="B160" s="12" t="s">
        <v>175</v>
      </c>
      <c r="C160" s="12"/>
      <c r="D160" s="12"/>
      <c r="E160" s="13">
        <v>1532</v>
      </c>
      <c r="F160" s="13">
        <v>989</v>
      </c>
      <c r="G160" s="13">
        <v>1.2569999999999999</v>
      </c>
      <c r="H160" s="144">
        <v>644.59100000000001</v>
      </c>
      <c r="I160" s="13">
        <v>42.075000000000003</v>
      </c>
      <c r="J160" s="13">
        <v>65.176000000000002</v>
      </c>
    </row>
    <row r="161" spans="1:10" ht="22.5" x14ac:dyDescent="0.2">
      <c r="A161" s="11" t="s">
        <v>564</v>
      </c>
      <c r="B161" s="12" t="s">
        <v>177</v>
      </c>
      <c r="C161" s="12"/>
      <c r="D161" s="12"/>
      <c r="E161" s="13">
        <v>483</v>
      </c>
      <c r="F161" s="13">
        <v>243</v>
      </c>
      <c r="G161" s="13">
        <v>0.02</v>
      </c>
      <c r="H161" s="144">
        <v>161.02600000000001</v>
      </c>
      <c r="I161" s="13">
        <v>33.338999999999999</v>
      </c>
      <c r="J161" s="13">
        <v>66.266000000000005</v>
      </c>
    </row>
    <row r="162" spans="1:10" ht="22.5" x14ac:dyDescent="0.2">
      <c r="A162" s="15" t="s">
        <v>564</v>
      </c>
      <c r="B162" s="16" t="s">
        <v>178</v>
      </c>
      <c r="C162" s="16" t="s">
        <v>23</v>
      </c>
      <c r="D162" s="16" t="s">
        <v>24</v>
      </c>
      <c r="E162" s="17">
        <v>483</v>
      </c>
      <c r="F162" s="17">
        <v>243</v>
      </c>
      <c r="G162" s="17"/>
      <c r="H162" s="143"/>
      <c r="I162" s="17"/>
      <c r="J162" s="17"/>
    </row>
    <row r="163" spans="1:10" ht="56.25" x14ac:dyDescent="0.2">
      <c r="A163" s="11" t="s">
        <v>179</v>
      </c>
      <c r="B163" s="12" t="s">
        <v>180</v>
      </c>
      <c r="C163" s="12"/>
      <c r="D163" s="12"/>
      <c r="E163" s="13"/>
      <c r="F163" s="13"/>
      <c r="G163" s="13">
        <v>0.02</v>
      </c>
      <c r="H163" s="144">
        <v>161.02600000000001</v>
      </c>
      <c r="I163" s="13"/>
      <c r="J163" s="13"/>
    </row>
    <row r="164" spans="1:10" ht="56.25" x14ac:dyDescent="0.2">
      <c r="A164" s="15" t="s">
        <v>179</v>
      </c>
      <c r="B164" s="16" t="s">
        <v>181</v>
      </c>
      <c r="C164" s="16" t="s">
        <v>23</v>
      </c>
      <c r="D164" s="16" t="s">
        <v>24</v>
      </c>
      <c r="E164" s="17"/>
      <c r="F164" s="17"/>
      <c r="G164" s="17">
        <v>0.02</v>
      </c>
      <c r="H164" s="143">
        <v>161.02600000000001</v>
      </c>
      <c r="I164" s="17"/>
      <c r="J164" s="17"/>
    </row>
    <row r="165" spans="1:10" ht="22.5" x14ac:dyDescent="0.2">
      <c r="A165" s="11" t="s">
        <v>184</v>
      </c>
      <c r="B165" s="12" t="s">
        <v>185</v>
      </c>
      <c r="C165" s="12"/>
      <c r="D165" s="12"/>
      <c r="E165" s="13">
        <v>152</v>
      </c>
      <c r="F165" s="13">
        <v>22</v>
      </c>
      <c r="G165" s="13"/>
      <c r="H165" s="144">
        <v>24.114999999999998</v>
      </c>
      <c r="I165" s="13">
        <v>15.865</v>
      </c>
      <c r="J165" s="13">
        <v>109.61499999999999</v>
      </c>
    </row>
    <row r="166" spans="1:10" ht="22.5" x14ac:dyDescent="0.2">
      <c r="A166" s="15" t="s">
        <v>184</v>
      </c>
      <c r="B166" s="16" t="s">
        <v>186</v>
      </c>
      <c r="C166" s="16" t="s">
        <v>23</v>
      </c>
      <c r="D166" s="16" t="s">
        <v>24</v>
      </c>
      <c r="E166" s="17">
        <v>152</v>
      </c>
      <c r="F166" s="17">
        <v>22</v>
      </c>
      <c r="G166" s="17"/>
      <c r="H166" s="143"/>
      <c r="I166" s="17"/>
      <c r="J166" s="17"/>
    </row>
    <row r="167" spans="1:10" ht="45" x14ac:dyDescent="0.2">
      <c r="A167" s="11" t="s">
        <v>187</v>
      </c>
      <c r="B167" s="12" t="s">
        <v>188</v>
      </c>
      <c r="C167" s="12"/>
      <c r="D167" s="12"/>
      <c r="E167" s="13"/>
      <c r="F167" s="13"/>
      <c r="G167" s="13"/>
      <c r="H167" s="144">
        <v>24.114999999999998</v>
      </c>
      <c r="I167" s="13"/>
      <c r="J167" s="13"/>
    </row>
    <row r="168" spans="1:10" ht="45" x14ac:dyDescent="0.2">
      <c r="A168" s="15" t="s">
        <v>187</v>
      </c>
      <c r="B168" s="16" t="s">
        <v>189</v>
      </c>
      <c r="C168" s="16" t="s">
        <v>23</v>
      </c>
      <c r="D168" s="16" t="s">
        <v>24</v>
      </c>
      <c r="E168" s="17"/>
      <c r="F168" s="17"/>
      <c r="G168" s="17"/>
      <c r="H168" s="143">
        <v>24.114999999999998</v>
      </c>
      <c r="I168" s="17"/>
      <c r="J168" s="17"/>
    </row>
    <row r="169" spans="1:10" ht="22.5" x14ac:dyDescent="0.2">
      <c r="A169" s="11" t="s">
        <v>190</v>
      </c>
      <c r="B169" s="12" t="s">
        <v>191</v>
      </c>
      <c r="C169" s="12"/>
      <c r="D169" s="12"/>
      <c r="E169" s="13">
        <v>897</v>
      </c>
      <c r="F169" s="13">
        <v>724</v>
      </c>
      <c r="G169" s="13">
        <v>1.2370000000000001</v>
      </c>
      <c r="H169" s="144">
        <v>459.44900000000001</v>
      </c>
      <c r="I169" s="13">
        <v>51.220999999999997</v>
      </c>
      <c r="J169" s="13">
        <v>63.46</v>
      </c>
    </row>
    <row r="170" spans="1:10" ht="22.5" x14ac:dyDescent="0.2">
      <c r="A170" s="15" t="s">
        <v>190</v>
      </c>
      <c r="B170" s="16" t="s">
        <v>192</v>
      </c>
      <c r="C170" s="16" t="s">
        <v>23</v>
      </c>
      <c r="D170" s="16" t="s">
        <v>24</v>
      </c>
      <c r="E170" s="17">
        <v>897</v>
      </c>
      <c r="F170" s="17"/>
      <c r="G170" s="17"/>
      <c r="H170" s="143"/>
      <c r="I170" s="17"/>
      <c r="J170" s="17"/>
    </row>
    <row r="171" spans="1:10" x14ac:dyDescent="0.2">
      <c r="A171" s="11" t="s">
        <v>749</v>
      </c>
      <c r="B171" s="12" t="s">
        <v>750</v>
      </c>
      <c r="C171" s="12"/>
      <c r="D171" s="12"/>
      <c r="E171" s="13"/>
      <c r="F171" s="13">
        <v>724</v>
      </c>
      <c r="G171" s="13">
        <v>1.2370000000000001</v>
      </c>
      <c r="H171" s="144">
        <v>381.096</v>
      </c>
      <c r="I171" s="13"/>
      <c r="J171" s="13">
        <v>52.637999999999998</v>
      </c>
    </row>
    <row r="172" spans="1:10" ht="45" x14ac:dyDescent="0.2">
      <c r="A172" s="11" t="s">
        <v>751</v>
      </c>
      <c r="B172" s="12" t="s">
        <v>752</v>
      </c>
      <c r="C172" s="12"/>
      <c r="D172" s="12"/>
      <c r="E172" s="13"/>
      <c r="F172" s="13">
        <v>724</v>
      </c>
      <c r="G172" s="13">
        <v>1.2370000000000001</v>
      </c>
      <c r="H172" s="144">
        <v>381.096</v>
      </c>
      <c r="I172" s="13"/>
      <c r="J172" s="13">
        <v>52.637999999999998</v>
      </c>
    </row>
    <row r="173" spans="1:10" ht="45" x14ac:dyDescent="0.2">
      <c r="A173" s="15" t="s">
        <v>751</v>
      </c>
      <c r="B173" s="16" t="s">
        <v>753</v>
      </c>
      <c r="C173" s="16" t="s">
        <v>23</v>
      </c>
      <c r="D173" s="16" t="s">
        <v>24</v>
      </c>
      <c r="E173" s="17"/>
      <c r="F173" s="17">
        <v>724</v>
      </c>
      <c r="G173" s="17">
        <v>1.2370000000000001</v>
      </c>
      <c r="H173" s="143">
        <v>381.096</v>
      </c>
      <c r="I173" s="17"/>
      <c r="J173" s="17">
        <v>52.637999999999998</v>
      </c>
    </row>
    <row r="174" spans="1:10" ht="22.5" x14ac:dyDescent="0.2">
      <c r="A174" s="11" t="s">
        <v>754</v>
      </c>
      <c r="B174" s="12" t="s">
        <v>755</v>
      </c>
      <c r="C174" s="12"/>
      <c r="D174" s="12"/>
      <c r="E174" s="13"/>
      <c r="F174" s="13"/>
      <c r="G174" s="13"/>
      <c r="H174" s="144">
        <v>78.352999999999994</v>
      </c>
      <c r="I174" s="13"/>
      <c r="J174" s="13"/>
    </row>
    <row r="175" spans="1:10" ht="45" x14ac:dyDescent="0.2">
      <c r="A175" s="11" t="s">
        <v>756</v>
      </c>
      <c r="B175" s="12" t="s">
        <v>757</v>
      </c>
      <c r="C175" s="12"/>
      <c r="D175" s="12"/>
      <c r="E175" s="13"/>
      <c r="F175" s="13"/>
      <c r="G175" s="13"/>
      <c r="H175" s="144">
        <v>78.352999999999994</v>
      </c>
      <c r="I175" s="13"/>
      <c r="J175" s="13"/>
    </row>
    <row r="176" spans="1:10" ht="45" x14ac:dyDescent="0.2">
      <c r="A176" s="15" t="s">
        <v>756</v>
      </c>
      <c r="B176" s="16" t="s">
        <v>758</v>
      </c>
      <c r="C176" s="16" t="s">
        <v>23</v>
      </c>
      <c r="D176" s="16" t="s">
        <v>24</v>
      </c>
      <c r="E176" s="17"/>
      <c r="F176" s="17"/>
      <c r="G176" s="17"/>
      <c r="H176" s="143">
        <v>78.352999999999994</v>
      </c>
      <c r="I176" s="17"/>
      <c r="J176" s="17"/>
    </row>
    <row r="177" spans="1:12" s="66" customFormat="1" ht="24" x14ac:dyDescent="0.2">
      <c r="A177" s="60" t="s">
        <v>193</v>
      </c>
      <c r="B177" s="61" t="s">
        <v>194</v>
      </c>
      <c r="C177" s="61"/>
      <c r="D177" s="61"/>
      <c r="E177" s="62">
        <v>55573.9</v>
      </c>
      <c r="F177" s="63">
        <v>56069.088000000003</v>
      </c>
      <c r="G177" s="116">
        <v>5278.009</v>
      </c>
      <c r="H177" s="140">
        <v>36436.972999999998</v>
      </c>
      <c r="I177" s="112">
        <v>65.564999999999998</v>
      </c>
      <c r="J177" s="64">
        <v>64.986000000000004</v>
      </c>
      <c r="K177" s="62"/>
      <c r="L177" s="62"/>
    </row>
    <row r="178" spans="1:12" x14ac:dyDescent="0.2">
      <c r="A178" s="11" t="s">
        <v>195</v>
      </c>
      <c r="B178" s="12" t="s">
        <v>196</v>
      </c>
      <c r="C178" s="12"/>
      <c r="D178" s="12"/>
      <c r="E178" s="13">
        <v>55573.9</v>
      </c>
      <c r="F178" s="13">
        <v>53959.38</v>
      </c>
      <c r="G178" s="13">
        <v>5275.5720000000001</v>
      </c>
      <c r="H178" s="144">
        <v>34324.828999999998</v>
      </c>
      <c r="I178" s="13">
        <v>61.764000000000003</v>
      </c>
      <c r="J178" s="13">
        <v>63.612000000000002</v>
      </c>
    </row>
    <row r="179" spans="1:12" x14ac:dyDescent="0.2">
      <c r="A179" s="11" t="s">
        <v>197</v>
      </c>
      <c r="B179" s="12" t="s">
        <v>198</v>
      </c>
      <c r="C179" s="12"/>
      <c r="D179" s="12"/>
      <c r="E179" s="13">
        <v>55573.9</v>
      </c>
      <c r="F179" s="13">
        <v>53959.38</v>
      </c>
      <c r="G179" s="13">
        <v>5275.5720000000001</v>
      </c>
      <c r="H179" s="144">
        <v>34324.828999999998</v>
      </c>
      <c r="I179" s="13">
        <v>61.764000000000003</v>
      </c>
      <c r="J179" s="13">
        <v>63.612000000000002</v>
      </c>
    </row>
    <row r="180" spans="1:12" ht="33.75" x14ac:dyDescent="0.2">
      <c r="A180" s="11" t="s">
        <v>199</v>
      </c>
      <c r="B180" s="12" t="s">
        <v>200</v>
      </c>
      <c r="C180" s="12"/>
      <c r="D180" s="12"/>
      <c r="E180" s="13">
        <v>55573.9</v>
      </c>
      <c r="F180" s="13">
        <v>53959.38</v>
      </c>
      <c r="G180" s="13">
        <v>5275.5720000000001</v>
      </c>
      <c r="H180" s="144">
        <v>34324.828999999998</v>
      </c>
      <c r="I180" s="13">
        <f>H181+H183+H185+H187</f>
        <v>34324.828999999998</v>
      </c>
      <c r="J180" s="13">
        <v>63.612000000000002</v>
      </c>
    </row>
    <row r="181" spans="1:12" s="110" customFormat="1" ht="33.75" x14ac:dyDescent="0.2">
      <c r="A181" s="123" t="s">
        <v>199</v>
      </c>
      <c r="B181" s="20" t="s">
        <v>201</v>
      </c>
      <c r="C181" s="20" t="s">
        <v>23</v>
      </c>
      <c r="D181" s="20" t="s">
        <v>24</v>
      </c>
      <c r="E181" s="93">
        <v>55</v>
      </c>
      <c r="F181" s="93">
        <v>86</v>
      </c>
      <c r="G181" s="93">
        <v>7.2169999999999996</v>
      </c>
      <c r="H181" s="146">
        <v>61.441000000000003</v>
      </c>
      <c r="I181" s="93">
        <v>111.711</v>
      </c>
      <c r="J181" s="93">
        <v>71.442999999999998</v>
      </c>
    </row>
    <row r="182" spans="1:12" ht="45" x14ac:dyDescent="0.2">
      <c r="A182" s="11" t="s">
        <v>202</v>
      </c>
      <c r="B182" s="12" t="s">
        <v>203</v>
      </c>
      <c r="C182" s="12"/>
      <c r="D182" s="12"/>
      <c r="E182" s="13">
        <v>54811.4</v>
      </c>
      <c r="F182" s="13">
        <v>53068.5</v>
      </c>
      <c r="G182" s="13">
        <v>5269.0360000000001</v>
      </c>
      <c r="H182" s="144">
        <v>33457.239000000001</v>
      </c>
      <c r="I182" s="13">
        <v>61.040999999999997</v>
      </c>
      <c r="J182" s="13">
        <v>63.045000000000002</v>
      </c>
    </row>
    <row r="183" spans="1:12" s="110" customFormat="1" ht="45" x14ac:dyDescent="0.2">
      <c r="A183" s="123" t="s">
        <v>202</v>
      </c>
      <c r="B183" s="20" t="s">
        <v>204</v>
      </c>
      <c r="C183" s="20" t="s">
        <v>23</v>
      </c>
      <c r="D183" s="20" t="s">
        <v>24</v>
      </c>
      <c r="E183" s="93">
        <v>54811.4</v>
      </c>
      <c r="F183" s="93">
        <v>53068.5</v>
      </c>
      <c r="G183" s="93">
        <v>5269.0360000000001</v>
      </c>
      <c r="H183" s="146">
        <v>33457.239000000001</v>
      </c>
      <c r="I183" s="93">
        <v>61.040999999999997</v>
      </c>
      <c r="J183" s="93">
        <v>63.045000000000002</v>
      </c>
    </row>
    <row r="184" spans="1:12" ht="56.25" x14ac:dyDescent="0.2">
      <c r="A184" s="11" t="s">
        <v>565</v>
      </c>
      <c r="B184" s="12" t="s">
        <v>566</v>
      </c>
      <c r="C184" s="12"/>
      <c r="D184" s="12"/>
      <c r="E184" s="13"/>
      <c r="F184" s="13">
        <v>31.643999999999998</v>
      </c>
      <c r="G184" s="13">
        <f>G183+G187</f>
        <v>5268.3540000000003</v>
      </c>
      <c r="H184" s="144">
        <v>31.643999999999998</v>
      </c>
      <c r="I184" s="13">
        <f>H183+H185+H187</f>
        <v>34263.387999999999</v>
      </c>
      <c r="J184" s="13">
        <v>99.998999999999995</v>
      </c>
    </row>
    <row r="185" spans="1:12" s="110" customFormat="1" ht="56.25" x14ac:dyDescent="0.2">
      <c r="A185" s="123" t="s">
        <v>565</v>
      </c>
      <c r="B185" s="20" t="s">
        <v>567</v>
      </c>
      <c r="C185" s="20" t="s">
        <v>23</v>
      </c>
      <c r="D185" s="20" t="s">
        <v>24</v>
      </c>
      <c r="E185" s="93"/>
      <c r="F185" s="93">
        <v>31.643999999999998</v>
      </c>
      <c r="G185" s="93"/>
      <c r="H185" s="146">
        <v>31.643999999999998</v>
      </c>
      <c r="I185" s="93"/>
      <c r="J185" s="93">
        <v>99.998999999999995</v>
      </c>
    </row>
    <row r="186" spans="1:12" ht="67.5" x14ac:dyDescent="0.2">
      <c r="A186" s="11" t="s">
        <v>205</v>
      </c>
      <c r="B186" s="12" t="s">
        <v>206</v>
      </c>
      <c r="C186" s="12"/>
      <c r="D186" s="12"/>
      <c r="E186" s="13">
        <v>707.5</v>
      </c>
      <c r="F186" s="13">
        <v>773.23599999999999</v>
      </c>
      <c r="G186" s="13">
        <v>-0.68200000000000005</v>
      </c>
      <c r="H186" s="144">
        <v>774.505</v>
      </c>
      <c r="I186" s="13">
        <v>109.471</v>
      </c>
      <c r="J186" s="13">
        <v>100.164</v>
      </c>
    </row>
    <row r="187" spans="1:12" s="110" customFormat="1" ht="56.25" x14ac:dyDescent="0.2">
      <c r="A187" s="123" t="s">
        <v>205</v>
      </c>
      <c r="B187" s="20" t="s">
        <v>207</v>
      </c>
      <c r="C187" s="20" t="s">
        <v>23</v>
      </c>
      <c r="D187" s="20" t="s">
        <v>24</v>
      </c>
      <c r="E187" s="93">
        <v>707.5</v>
      </c>
      <c r="F187" s="93">
        <v>773.23599999999999</v>
      </c>
      <c r="G187" s="93">
        <v>-0.68200000000000005</v>
      </c>
      <c r="H187" s="146">
        <v>774.505</v>
      </c>
      <c r="I187" s="93">
        <v>109.471</v>
      </c>
      <c r="J187" s="93">
        <v>100.164</v>
      </c>
    </row>
    <row r="188" spans="1:12" x14ac:dyDescent="0.2">
      <c r="A188" s="11" t="s">
        <v>208</v>
      </c>
      <c r="B188" s="12" t="s">
        <v>209</v>
      </c>
      <c r="C188" s="12"/>
      <c r="D188" s="12"/>
      <c r="E188" s="13"/>
      <c r="F188" s="13">
        <v>2109.7080000000001</v>
      </c>
      <c r="G188" s="13">
        <v>2.4369999999999998</v>
      </c>
      <c r="H188" s="144">
        <v>2112.1439999999998</v>
      </c>
      <c r="I188" s="13"/>
      <c r="J188" s="13">
        <v>100.116</v>
      </c>
    </row>
    <row r="189" spans="1:12" x14ac:dyDescent="0.2">
      <c r="A189" s="11" t="s">
        <v>210</v>
      </c>
      <c r="B189" s="12" t="s">
        <v>211</v>
      </c>
      <c r="C189" s="12"/>
      <c r="D189" s="12"/>
      <c r="E189" s="13"/>
      <c r="F189" s="13">
        <v>2109.7080000000001</v>
      </c>
      <c r="G189" s="13">
        <v>2.4369999999999998</v>
      </c>
      <c r="H189" s="144">
        <v>2112.1439999999998</v>
      </c>
      <c r="I189" s="13"/>
      <c r="J189" s="13">
        <v>100.116</v>
      </c>
    </row>
    <row r="190" spans="1:12" ht="22.5" x14ac:dyDescent="0.2">
      <c r="A190" s="11" t="s">
        <v>212</v>
      </c>
      <c r="B190" s="12" t="s">
        <v>213</v>
      </c>
      <c r="C190" s="12"/>
      <c r="D190" s="12"/>
      <c r="E190" s="13"/>
      <c r="F190" s="13">
        <v>2109.7080000000001</v>
      </c>
      <c r="G190" s="13">
        <v>2.4369999999999998</v>
      </c>
      <c r="H190" s="144">
        <v>2112.1439999999998</v>
      </c>
      <c r="I190" s="13"/>
      <c r="J190" s="13">
        <v>100.116</v>
      </c>
    </row>
    <row r="191" spans="1:12" s="110" customFormat="1" ht="22.5" x14ac:dyDescent="0.2">
      <c r="A191" s="123" t="s">
        <v>212</v>
      </c>
      <c r="B191" s="20" t="s">
        <v>759</v>
      </c>
      <c r="C191" s="20" t="s">
        <v>23</v>
      </c>
      <c r="D191" s="20" t="s">
        <v>24</v>
      </c>
      <c r="E191" s="93"/>
      <c r="F191" s="93">
        <v>0.86299999999999999</v>
      </c>
      <c r="G191" s="93"/>
      <c r="H191" s="146">
        <v>0.86299999999999999</v>
      </c>
      <c r="I191" s="93"/>
      <c r="J191" s="93">
        <v>100.012</v>
      </c>
    </row>
    <row r="192" spans="1:12" ht="33.75" x14ac:dyDescent="0.2">
      <c r="A192" s="11" t="s">
        <v>214</v>
      </c>
      <c r="B192" s="12" t="s">
        <v>215</v>
      </c>
      <c r="C192" s="12"/>
      <c r="D192" s="12"/>
      <c r="E192" s="13"/>
      <c r="F192" s="13">
        <v>2108.8449999999998</v>
      </c>
      <c r="G192" s="13">
        <v>2.4369999999999998</v>
      </c>
      <c r="H192" s="144">
        <v>2111.2809999999999</v>
      </c>
      <c r="I192" s="13"/>
      <c r="J192" s="13">
        <v>100.116</v>
      </c>
    </row>
    <row r="193" spans="1:12" s="110" customFormat="1" ht="33.75" x14ac:dyDescent="0.2">
      <c r="A193" s="123" t="s">
        <v>214</v>
      </c>
      <c r="B193" s="20" t="s">
        <v>568</v>
      </c>
      <c r="C193" s="20" t="s">
        <v>23</v>
      </c>
      <c r="D193" s="20" t="s">
        <v>24</v>
      </c>
      <c r="E193" s="93"/>
      <c r="F193" s="93">
        <v>91.906000000000006</v>
      </c>
      <c r="G193" s="93">
        <v>2.4369999999999998</v>
      </c>
      <c r="H193" s="146">
        <v>94.343000000000004</v>
      </c>
      <c r="I193" s="93"/>
      <c r="J193" s="93">
        <v>102.652</v>
      </c>
    </row>
    <row r="194" spans="1:12" s="110" customFormat="1" ht="33.75" x14ac:dyDescent="0.2">
      <c r="A194" s="123" t="s">
        <v>214</v>
      </c>
      <c r="B194" s="20" t="s">
        <v>216</v>
      </c>
      <c r="C194" s="20" t="s">
        <v>23</v>
      </c>
      <c r="D194" s="20" t="s">
        <v>24</v>
      </c>
      <c r="E194" s="93"/>
      <c r="F194" s="93">
        <v>1645.6020000000001</v>
      </c>
      <c r="G194" s="93"/>
      <c r="H194" s="146">
        <v>1645.6020000000001</v>
      </c>
      <c r="I194" s="93"/>
      <c r="J194" s="93">
        <v>100</v>
      </c>
    </row>
    <row r="195" spans="1:12" s="110" customFormat="1" ht="33.75" x14ac:dyDescent="0.2">
      <c r="A195" s="123" t="s">
        <v>214</v>
      </c>
      <c r="B195" s="20" t="s">
        <v>760</v>
      </c>
      <c r="C195" s="20" t="s">
        <v>23</v>
      </c>
      <c r="D195" s="20" t="s">
        <v>24</v>
      </c>
      <c r="E195" s="93"/>
      <c r="F195" s="93">
        <v>284.00900000000001</v>
      </c>
      <c r="G195" s="93"/>
      <c r="H195" s="146">
        <v>284.00900000000001</v>
      </c>
      <c r="I195" s="93"/>
      <c r="J195" s="93">
        <v>100</v>
      </c>
    </row>
    <row r="196" spans="1:12" s="110" customFormat="1" ht="33.75" x14ac:dyDescent="0.2">
      <c r="A196" s="123" t="s">
        <v>214</v>
      </c>
      <c r="B196" s="20" t="s">
        <v>761</v>
      </c>
      <c r="C196" s="20" t="s">
        <v>23</v>
      </c>
      <c r="D196" s="20" t="s">
        <v>24</v>
      </c>
      <c r="E196" s="93"/>
      <c r="F196" s="93">
        <v>37.499000000000002</v>
      </c>
      <c r="G196" s="93"/>
      <c r="H196" s="146">
        <v>37.499000000000002</v>
      </c>
      <c r="I196" s="93"/>
      <c r="J196" s="93">
        <v>100</v>
      </c>
    </row>
    <row r="197" spans="1:12" s="110" customFormat="1" ht="33.75" x14ac:dyDescent="0.2">
      <c r="A197" s="123" t="s">
        <v>214</v>
      </c>
      <c r="B197" s="20" t="s">
        <v>762</v>
      </c>
      <c r="C197" s="20" t="s">
        <v>23</v>
      </c>
      <c r="D197" s="20" t="s">
        <v>24</v>
      </c>
      <c r="E197" s="93"/>
      <c r="F197" s="93">
        <v>49.829000000000001</v>
      </c>
      <c r="G197" s="93"/>
      <c r="H197" s="146">
        <v>49.829000000000001</v>
      </c>
      <c r="I197" s="93"/>
      <c r="J197" s="93">
        <v>99.998999999999995</v>
      </c>
    </row>
    <row r="198" spans="1:12" s="91" customFormat="1" ht="24" x14ac:dyDescent="0.2">
      <c r="A198" s="95" t="s">
        <v>217</v>
      </c>
      <c r="B198" s="86" t="s">
        <v>218</v>
      </c>
      <c r="C198" s="86"/>
      <c r="D198" s="86"/>
      <c r="E198" s="87">
        <v>763.5</v>
      </c>
      <c r="F198" s="88">
        <v>1399.5150000000001</v>
      </c>
      <c r="G198" s="121">
        <v>113.816</v>
      </c>
      <c r="H198" s="140">
        <v>1393.9549999999999</v>
      </c>
      <c r="I198" s="112">
        <v>182.57400000000001</v>
      </c>
      <c r="J198" s="89">
        <v>99.602999999999994</v>
      </c>
      <c r="K198" s="87"/>
      <c r="L198" s="87"/>
    </row>
    <row r="199" spans="1:12" s="66" customFormat="1" ht="84" x14ac:dyDescent="0.2">
      <c r="A199" s="92" t="s">
        <v>569</v>
      </c>
      <c r="B199" s="61" t="s">
        <v>570</v>
      </c>
      <c r="C199" s="61"/>
      <c r="D199" s="61"/>
      <c r="E199" s="62">
        <v>40</v>
      </c>
      <c r="F199" s="63">
        <v>127</v>
      </c>
      <c r="G199" s="116"/>
      <c r="H199" s="140">
        <v>77</v>
      </c>
      <c r="I199" s="112">
        <v>192.5</v>
      </c>
      <c r="J199" s="64">
        <v>60.63</v>
      </c>
      <c r="K199" s="62"/>
      <c r="L199" s="62"/>
    </row>
    <row r="200" spans="1:12" ht="90" x14ac:dyDescent="0.2">
      <c r="A200" s="14" t="s">
        <v>477</v>
      </c>
      <c r="B200" s="12" t="s">
        <v>571</v>
      </c>
      <c r="C200" s="12"/>
      <c r="D200" s="12"/>
      <c r="E200" s="13">
        <v>40</v>
      </c>
      <c r="F200" s="13">
        <v>127</v>
      </c>
      <c r="G200" s="13"/>
      <c r="H200" s="144">
        <v>77</v>
      </c>
      <c r="I200" s="13">
        <v>192.5</v>
      </c>
      <c r="J200" s="13">
        <v>60.63</v>
      </c>
    </row>
    <row r="201" spans="1:12" ht="90" x14ac:dyDescent="0.2">
      <c r="A201" s="14" t="s">
        <v>478</v>
      </c>
      <c r="B201" s="12" t="s">
        <v>479</v>
      </c>
      <c r="C201" s="12"/>
      <c r="D201" s="12"/>
      <c r="E201" s="13">
        <v>40</v>
      </c>
      <c r="F201" s="13">
        <v>127</v>
      </c>
      <c r="G201" s="13"/>
      <c r="H201" s="144">
        <v>77</v>
      </c>
      <c r="I201" s="13">
        <v>192.5</v>
      </c>
      <c r="J201" s="13">
        <v>60.63</v>
      </c>
    </row>
    <row r="202" spans="1:12" ht="78.75" x14ac:dyDescent="0.2">
      <c r="A202" s="18" t="s">
        <v>478</v>
      </c>
      <c r="B202" s="16" t="s">
        <v>480</v>
      </c>
      <c r="C202" s="16" t="s">
        <v>23</v>
      </c>
      <c r="D202" s="16" t="s">
        <v>24</v>
      </c>
      <c r="E202" s="17">
        <v>40</v>
      </c>
      <c r="F202" s="17">
        <v>127</v>
      </c>
      <c r="G202" s="17"/>
      <c r="H202" s="143">
        <v>77</v>
      </c>
      <c r="I202" s="17">
        <v>192.5</v>
      </c>
      <c r="J202" s="17">
        <v>60.63</v>
      </c>
    </row>
    <row r="203" spans="1:12" s="66" customFormat="1" ht="36" x14ac:dyDescent="0.2">
      <c r="A203" s="60" t="s">
        <v>219</v>
      </c>
      <c r="B203" s="61" t="s">
        <v>220</v>
      </c>
      <c r="C203" s="61"/>
      <c r="D203" s="61"/>
      <c r="E203" s="62">
        <v>723.5</v>
      </c>
      <c r="F203" s="63">
        <v>1259.8</v>
      </c>
      <c r="G203" s="116">
        <v>113.816</v>
      </c>
      <c r="H203" s="140">
        <v>1304.241</v>
      </c>
      <c r="I203" s="112">
        <f>H203+H210</f>
        <v>1316.9559999999999</v>
      </c>
      <c r="J203" s="64">
        <v>103.52800000000001</v>
      </c>
      <c r="K203" s="62"/>
      <c r="L203" s="62"/>
    </row>
    <row r="204" spans="1:12" ht="33.75" x14ac:dyDescent="0.2">
      <c r="A204" s="11" t="s">
        <v>221</v>
      </c>
      <c r="B204" s="12" t="s">
        <v>222</v>
      </c>
      <c r="C204" s="12"/>
      <c r="D204" s="12"/>
      <c r="E204" s="13">
        <v>723.5</v>
      </c>
      <c r="F204" s="13">
        <v>1259.8</v>
      </c>
      <c r="G204" s="13">
        <v>113.816</v>
      </c>
      <c r="H204" s="144">
        <v>1304.241</v>
      </c>
      <c r="I204" s="13">
        <v>180.268</v>
      </c>
      <c r="J204" s="13">
        <v>103.52800000000001</v>
      </c>
    </row>
    <row r="205" spans="1:12" ht="56.25" x14ac:dyDescent="0.2">
      <c r="A205" s="11" t="s">
        <v>763</v>
      </c>
      <c r="B205" s="12" t="s">
        <v>481</v>
      </c>
      <c r="C205" s="12"/>
      <c r="D205" s="12"/>
      <c r="E205" s="13">
        <v>300</v>
      </c>
      <c r="F205" s="13">
        <v>300</v>
      </c>
      <c r="G205" s="13">
        <v>0.24399999999999999</v>
      </c>
      <c r="H205" s="144">
        <v>247.39099999999999</v>
      </c>
      <c r="I205" s="13">
        <v>82.463999999999999</v>
      </c>
      <c r="J205" s="13">
        <v>82.463999999999999</v>
      </c>
    </row>
    <row r="206" spans="1:12" ht="56.25" x14ac:dyDescent="0.2">
      <c r="A206" s="15" t="s">
        <v>763</v>
      </c>
      <c r="B206" s="16" t="s">
        <v>482</v>
      </c>
      <c r="C206" s="16" t="s">
        <v>23</v>
      </c>
      <c r="D206" s="16" t="s">
        <v>24</v>
      </c>
      <c r="E206" s="17">
        <v>300</v>
      </c>
      <c r="F206" s="17">
        <v>300</v>
      </c>
      <c r="G206" s="17">
        <v>0.24399999999999999</v>
      </c>
      <c r="H206" s="143">
        <v>247.39099999999999</v>
      </c>
      <c r="I206" s="94">
        <f>H203+H210</f>
        <v>1316.9559999999999</v>
      </c>
      <c r="J206" s="17">
        <v>82.463999999999999</v>
      </c>
    </row>
    <row r="207" spans="1:12" ht="45" x14ac:dyDescent="0.2">
      <c r="A207" s="11" t="s">
        <v>223</v>
      </c>
      <c r="B207" s="12" t="s">
        <v>224</v>
      </c>
      <c r="C207" s="12"/>
      <c r="D207" s="12"/>
      <c r="E207" s="13">
        <v>423.5</v>
      </c>
      <c r="F207" s="13">
        <v>959.8</v>
      </c>
      <c r="G207" s="13">
        <v>113.571</v>
      </c>
      <c r="H207" s="144">
        <v>1056.8499999999999</v>
      </c>
      <c r="I207" s="13">
        <v>249.55099999999999</v>
      </c>
      <c r="J207" s="13">
        <v>110.11199999999999</v>
      </c>
    </row>
    <row r="208" spans="1:12" ht="45" x14ac:dyDescent="0.2">
      <c r="A208" s="15" t="s">
        <v>223</v>
      </c>
      <c r="B208" s="16" t="s">
        <v>225</v>
      </c>
      <c r="C208" s="16" t="s">
        <v>23</v>
      </c>
      <c r="D208" s="16" t="s">
        <v>24</v>
      </c>
      <c r="E208" s="17">
        <v>123.5</v>
      </c>
      <c r="F208" s="17">
        <v>659.8</v>
      </c>
      <c r="G208" s="17">
        <v>98.025999999999996</v>
      </c>
      <c r="H208" s="143">
        <v>714.43399999999997</v>
      </c>
      <c r="I208" s="17">
        <v>578.48900000000003</v>
      </c>
      <c r="J208" s="17">
        <v>108.28</v>
      </c>
    </row>
    <row r="209" spans="1:12" ht="45" x14ac:dyDescent="0.2">
      <c r="A209" s="15" t="s">
        <v>223</v>
      </c>
      <c r="B209" s="16" t="s">
        <v>226</v>
      </c>
      <c r="C209" s="16" t="s">
        <v>23</v>
      </c>
      <c r="D209" s="16" t="s">
        <v>24</v>
      </c>
      <c r="E209" s="17">
        <v>300</v>
      </c>
      <c r="F209" s="17">
        <v>300</v>
      </c>
      <c r="G209" s="17">
        <v>15.545999999999999</v>
      </c>
      <c r="H209" s="143">
        <v>342.416</v>
      </c>
      <c r="I209" s="17">
        <v>114.139</v>
      </c>
      <c r="J209" s="17">
        <v>114.139</v>
      </c>
    </row>
    <row r="210" spans="1:12" s="66" customFormat="1" ht="72" x14ac:dyDescent="0.2">
      <c r="A210" s="60" t="s">
        <v>572</v>
      </c>
      <c r="B210" s="61" t="s">
        <v>573</v>
      </c>
      <c r="C210" s="61"/>
      <c r="D210" s="61"/>
      <c r="E210" s="62"/>
      <c r="F210" s="63">
        <v>12.715</v>
      </c>
      <c r="G210" s="116"/>
      <c r="H210" s="140">
        <v>12.715</v>
      </c>
      <c r="I210" s="112"/>
      <c r="J210" s="64">
        <v>99.997</v>
      </c>
      <c r="K210" s="62"/>
      <c r="L210" s="62"/>
    </row>
    <row r="211" spans="1:12" ht="56.25" x14ac:dyDescent="0.2">
      <c r="A211" s="11" t="s">
        <v>574</v>
      </c>
      <c r="B211" s="12" t="s">
        <v>575</v>
      </c>
      <c r="C211" s="12"/>
      <c r="D211" s="12"/>
      <c r="E211" s="13"/>
      <c r="F211" s="13">
        <v>12.715</v>
      </c>
      <c r="G211" s="13"/>
      <c r="H211" s="144">
        <v>12.715</v>
      </c>
      <c r="I211" s="13"/>
      <c r="J211" s="13">
        <v>99.997</v>
      </c>
    </row>
    <row r="212" spans="1:12" ht="78.75" x14ac:dyDescent="0.2">
      <c r="A212" s="14" t="s">
        <v>576</v>
      </c>
      <c r="B212" s="12" t="s">
        <v>577</v>
      </c>
      <c r="C212" s="12"/>
      <c r="D212" s="12"/>
      <c r="E212" s="13"/>
      <c r="F212" s="13">
        <v>12.715</v>
      </c>
      <c r="G212" s="13"/>
      <c r="H212" s="144">
        <v>12.715</v>
      </c>
      <c r="I212" s="13"/>
      <c r="J212" s="13">
        <v>99.997</v>
      </c>
    </row>
    <row r="213" spans="1:12" ht="67.5" x14ac:dyDescent="0.2">
      <c r="A213" s="18" t="s">
        <v>576</v>
      </c>
      <c r="B213" s="16" t="s">
        <v>578</v>
      </c>
      <c r="C213" s="16" t="s">
        <v>23</v>
      </c>
      <c r="D213" s="16" t="s">
        <v>24</v>
      </c>
      <c r="E213" s="17"/>
      <c r="F213" s="17">
        <v>12.715</v>
      </c>
      <c r="G213" s="17"/>
      <c r="H213" s="143">
        <v>12.715</v>
      </c>
      <c r="I213" s="17"/>
      <c r="J213" s="17">
        <v>99.997</v>
      </c>
    </row>
    <row r="214" spans="1:12" s="66" customFormat="1" ht="12" x14ac:dyDescent="0.2">
      <c r="A214" s="60" t="s">
        <v>227</v>
      </c>
      <c r="B214" s="61" t="s">
        <v>228</v>
      </c>
      <c r="C214" s="61"/>
      <c r="D214" s="61"/>
      <c r="E214" s="62">
        <v>4594.8999999999996</v>
      </c>
      <c r="F214" s="63">
        <v>4594.8999999999996</v>
      </c>
      <c r="G214" s="116">
        <v>184.64</v>
      </c>
      <c r="H214" s="140">
        <v>3358.759</v>
      </c>
      <c r="I214" s="112">
        <v>73.097999999999999</v>
      </c>
      <c r="J214" s="64">
        <v>73.097999999999999</v>
      </c>
      <c r="K214" s="62"/>
      <c r="L214" s="62"/>
    </row>
    <row r="215" spans="1:12" ht="22.5" x14ac:dyDescent="0.2">
      <c r="A215" s="11" t="s">
        <v>229</v>
      </c>
      <c r="B215" s="12" t="s">
        <v>230</v>
      </c>
      <c r="C215" s="12"/>
      <c r="D215" s="12"/>
      <c r="E215" s="13">
        <v>318</v>
      </c>
      <c r="F215" s="13">
        <v>267</v>
      </c>
      <c r="G215" s="13">
        <v>12.853999999999999</v>
      </c>
      <c r="H215" s="144">
        <v>150.35</v>
      </c>
      <c r="I215" s="13">
        <v>47.28</v>
      </c>
      <c r="J215" s="13">
        <v>56.311</v>
      </c>
    </row>
    <row r="216" spans="1:12" ht="67.5" x14ac:dyDescent="0.2">
      <c r="A216" s="14" t="s">
        <v>579</v>
      </c>
      <c r="B216" s="12" t="s">
        <v>232</v>
      </c>
      <c r="C216" s="12"/>
      <c r="D216" s="12"/>
      <c r="E216" s="13">
        <v>301</v>
      </c>
      <c r="F216" s="13">
        <v>253</v>
      </c>
      <c r="G216" s="13">
        <v>12.254</v>
      </c>
      <c r="H216" s="144">
        <v>141.75399999999999</v>
      </c>
      <c r="I216" s="13">
        <v>47.094000000000001</v>
      </c>
      <c r="J216" s="13">
        <v>56.029000000000003</v>
      </c>
    </row>
    <row r="217" spans="1:12" ht="67.5" x14ac:dyDescent="0.2">
      <c r="A217" s="18" t="s">
        <v>579</v>
      </c>
      <c r="B217" s="16" t="s">
        <v>233</v>
      </c>
      <c r="C217" s="16" t="s">
        <v>23</v>
      </c>
      <c r="D217" s="16" t="s">
        <v>24</v>
      </c>
      <c r="E217" s="17">
        <v>301</v>
      </c>
      <c r="F217" s="17"/>
      <c r="G217" s="17"/>
      <c r="H217" s="143"/>
      <c r="I217" s="17"/>
      <c r="J217" s="17"/>
    </row>
    <row r="218" spans="1:12" ht="67.5" x14ac:dyDescent="0.2">
      <c r="A218" s="14" t="s">
        <v>580</v>
      </c>
      <c r="B218" s="12" t="s">
        <v>234</v>
      </c>
      <c r="C218" s="12"/>
      <c r="D218" s="12"/>
      <c r="E218" s="13"/>
      <c r="F218" s="13">
        <v>253</v>
      </c>
      <c r="G218" s="13">
        <v>12.254</v>
      </c>
      <c r="H218" s="144">
        <v>141.75399999999999</v>
      </c>
      <c r="I218" s="13"/>
      <c r="J218" s="13">
        <v>56.029000000000003</v>
      </c>
    </row>
    <row r="219" spans="1:12" ht="67.5" x14ac:dyDescent="0.2">
      <c r="A219" s="18" t="s">
        <v>580</v>
      </c>
      <c r="B219" s="16" t="s">
        <v>235</v>
      </c>
      <c r="C219" s="16" t="s">
        <v>23</v>
      </c>
      <c r="D219" s="16" t="s">
        <v>24</v>
      </c>
      <c r="E219" s="17"/>
      <c r="F219" s="93">
        <v>253</v>
      </c>
      <c r="G219" s="17">
        <v>12.254</v>
      </c>
      <c r="H219" s="146">
        <v>141.75399999999999</v>
      </c>
      <c r="I219" s="17"/>
      <c r="J219" s="17">
        <v>56.029000000000003</v>
      </c>
    </row>
    <row r="220" spans="1:12" ht="56.25" x14ac:dyDescent="0.2">
      <c r="A220" s="11" t="s">
        <v>236</v>
      </c>
      <c r="B220" s="12" t="s">
        <v>237</v>
      </c>
      <c r="C220" s="12"/>
      <c r="D220" s="12"/>
      <c r="E220" s="13">
        <v>17</v>
      </c>
      <c r="F220" s="13">
        <v>14</v>
      </c>
      <c r="G220" s="13">
        <v>0.6</v>
      </c>
      <c r="H220" s="144">
        <v>8.5960000000000001</v>
      </c>
      <c r="I220" s="13">
        <v>50.567</v>
      </c>
      <c r="J220" s="13">
        <v>61.402999999999999</v>
      </c>
    </row>
    <row r="221" spans="1:12" ht="45" x14ac:dyDescent="0.2">
      <c r="A221" s="15" t="s">
        <v>236</v>
      </c>
      <c r="B221" s="16" t="s">
        <v>238</v>
      </c>
      <c r="C221" s="16" t="s">
        <v>23</v>
      </c>
      <c r="D221" s="16" t="s">
        <v>24</v>
      </c>
      <c r="E221" s="17">
        <v>17</v>
      </c>
      <c r="F221" s="17"/>
      <c r="G221" s="17"/>
      <c r="H221" s="143"/>
      <c r="I221" s="17"/>
      <c r="J221" s="17"/>
    </row>
    <row r="222" spans="1:12" ht="90" x14ac:dyDescent="0.2">
      <c r="A222" s="14" t="s">
        <v>239</v>
      </c>
      <c r="B222" s="12" t="s">
        <v>240</v>
      </c>
      <c r="C222" s="12"/>
      <c r="D222" s="12"/>
      <c r="E222" s="13"/>
      <c r="F222" s="13">
        <v>14</v>
      </c>
      <c r="G222" s="13">
        <v>0.6</v>
      </c>
      <c r="H222" s="144">
        <v>8.5960000000000001</v>
      </c>
      <c r="I222" s="13"/>
      <c r="J222" s="13">
        <v>61.402999999999999</v>
      </c>
    </row>
    <row r="223" spans="1:12" ht="78.75" x14ac:dyDescent="0.2">
      <c r="A223" s="18" t="s">
        <v>239</v>
      </c>
      <c r="B223" s="16" t="s">
        <v>241</v>
      </c>
      <c r="C223" s="16" t="s">
        <v>23</v>
      </c>
      <c r="D223" s="16" t="s">
        <v>24</v>
      </c>
      <c r="E223" s="17"/>
      <c r="F223" s="93">
        <v>14</v>
      </c>
      <c r="G223" s="17">
        <v>0.6</v>
      </c>
      <c r="H223" s="146">
        <v>8.5960000000000001</v>
      </c>
      <c r="I223" s="17"/>
      <c r="J223" s="17">
        <v>61.402999999999999</v>
      </c>
    </row>
    <row r="224" spans="1:12" ht="56.25" x14ac:dyDescent="0.2">
      <c r="A224" s="11" t="s">
        <v>242</v>
      </c>
      <c r="B224" s="12" t="s">
        <v>243</v>
      </c>
      <c r="C224" s="12"/>
      <c r="D224" s="12"/>
      <c r="E224" s="13">
        <v>1</v>
      </c>
      <c r="F224" s="13">
        <v>2.2999999999999998</v>
      </c>
      <c r="G224" s="13"/>
      <c r="H224" s="144">
        <v>2.2999999999999998</v>
      </c>
      <c r="I224" s="13">
        <v>230</v>
      </c>
      <c r="J224" s="13">
        <v>100</v>
      </c>
    </row>
    <row r="225" spans="1:10" ht="56.25" x14ac:dyDescent="0.2">
      <c r="A225" s="15" t="s">
        <v>242</v>
      </c>
      <c r="B225" s="16" t="s">
        <v>244</v>
      </c>
      <c r="C225" s="16" t="s">
        <v>23</v>
      </c>
      <c r="D225" s="16" t="s">
        <v>24</v>
      </c>
      <c r="E225" s="17">
        <v>1</v>
      </c>
      <c r="F225" s="17"/>
      <c r="G225" s="17"/>
      <c r="H225" s="143"/>
      <c r="I225" s="17"/>
      <c r="J225" s="17"/>
    </row>
    <row r="226" spans="1:10" ht="90" x14ac:dyDescent="0.2">
      <c r="A226" s="14" t="s">
        <v>245</v>
      </c>
      <c r="B226" s="12" t="s">
        <v>246</v>
      </c>
      <c r="C226" s="12"/>
      <c r="D226" s="12"/>
      <c r="E226" s="13"/>
      <c r="F226" s="13">
        <v>2.2999999999999998</v>
      </c>
      <c r="G226" s="13"/>
      <c r="H226" s="144">
        <v>2.2999999999999998</v>
      </c>
      <c r="I226" s="13"/>
      <c r="J226" s="13">
        <v>100</v>
      </c>
    </row>
    <row r="227" spans="1:10" ht="78.75" x14ac:dyDescent="0.2">
      <c r="A227" s="18" t="s">
        <v>245</v>
      </c>
      <c r="B227" s="16" t="s">
        <v>247</v>
      </c>
      <c r="C227" s="16" t="s">
        <v>23</v>
      </c>
      <c r="D227" s="16" t="s">
        <v>24</v>
      </c>
      <c r="E227" s="17"/>
      <c r="F227" s="93">
        <v>2.2999999999999998</v>
      </c>
      <c r="G227" s="17"/>
      <c r="H227" s="146">
        <v>2.2999999999999998</v>
      </c>
      <c r="I227" s="17"/>
      <c r="J227" s="17">
        <v>100</v>
      </c>
    </row>
    <row r="228" spans="1:10" ht="56.25" x14ac:dyDescent="0.2">
      <c r="A228" s="11" t="s">
        <v>248</v>
      </c>
      <c r="B228" s="12" t="s">
        <v>249</v>
      </c>
      <c r="C228" s="12"/>
      <c r="D228" s="12"/>
      <c r="E228" s="13">
        <v>220</v>
      </c>
      <c r="F228" s="13">
        <v>231</v>
      </c>
      <c r="G228" s="13">
        <v>55</v>
      </c>
      <c r="H228" s="144">
        <v>265</v>
      </c>
      <c r="I228" s="13">
        <v>120.455</v>
      </c>
      <c r="J228" s="13">
        <v>114.71899999999999</v>
      </c>
    </row>
    <row r="229" spans="1:10" s="110" customFormat="1" ht="56.25" x14ac:dyDescent="0.2">
      <c r="A229" s="109" t="s">
        <v>250</v>
      </c>
      <c r="B229" s="19" t="s">
        <v>251</v>
      </c>
      <c r="C229" s="19"/>
      <c r="D229" s="19"/>
      <c r="E229" s="45">
        <v>220</v>
      </c>
      <c r="F229" s="45">
        <v>199</v>
      </c>
      <c r="G229" s="45">
        <v>55</v>
      </c>
      <c r="H229" s="142">
        <v>233</v>
      </c>
      <c r="I229" s="45">
        <v>105.90900000000001</v>
      </c>
      <c r="J229" s="45">
        <v>117.08499999999999</v>
      </c>
    </row>
    <row r="230" spans="1:10" ht="45" x14ac:dyDescent="0.2">
      <c r="A230" s="15" t="s">
        <v>250</v>
      </c>
      <c r="B230" s="16" t="s">
        <v>453</v>
      </c>
      <c r="C230" s="16" t="s">
        <v>23</v>
      </c>
      <c r="D230" s="16" t="s">
        <v>24</v>
      </c>
      <c r="E230" s="17">
        <v>21</v>
      </c>
      <c r="F230" s="17"/>
      <c r="G230" s="17"/>
      <c r="H230" s="143"/>
      <c r="I230" s="17"/>
      <c r="J230" s="17"/>
    </row>
    <row r="231" spans="1:10" ht="45" x14ac:dyDescent="0.2">
      <c r="A231" s="15" t="s">
        <v>250</v>
      </c>
      <c r="B231" s="16" t="s">
        <v>252</v>
      </c>
      <c r="C231" s="16" t="s">
        <v>23</v>
      </c>
      <c r="D231" s="16" t="s">
        <v>24</v>
      </c>
      <c r="E231" s="17">
        <v>199</v>
      </c>
      <c r="F231" s="17"/>
      <c r="G231" s="17"/>
      <c r="H231" s="143"/>
      <c r="I231" s="17"/>
      <c r="J231" s="17"/>
    </row>
    <row r="232" spans="1:10" ht="90" x14ac:dyDescent="0.2">
      <c r="A232" s="14" t="s">
        <v>253</v>
      </c>
      <c r="B232" s="12" t="s">
        <v>254</v>
      </c>
      <c r="C232" s="12"/>
      <c r="D232" s="12"/>
      <c r="E232" s="13"/>
      <c r="F232" s="13">
        <v>199</v>
      </c>
      <c r="G232" s="13">
        <v>55</v>
      </c>
      <c r="H232" s="144">
        <v>233</v>
      </c>
      <c r="I232" s="13"/>
      <c r="J232" s="13">
        <v>117.08499999999999</v>
      </c>
    </row>
    <row r="233" spans="1:10" ht="78.75" x14ac:dyDescent="0.2">
      <c r="A233" s="18" t="s">
        <v>253</v>
      </c>
      <c r="B233" s="16" t="s">
        <v>827</v>
      </c>
      <c r="C233" s="16" t="s">
        <v>23</v>
      </c>
      <c r="D233" s="16" t="s">
        <v>24</v>
      </c>
      <c r="E233" s="17"/>
      <c r="F233" s="93">
        <v>199</v>
      </c>
      <c r="G233" s="17">
        <v>55</v>
      </c>
      <c r="H233" s="146">
        <v>233</v>
      </c>
      <c r="I233" s="17"/>
      <c r="J233" s="17">
        <v>117.08499999999999</v>
      </c>
    </row>
    <row r="234" spans="1:10" ht="45" x14ac:dyDescent="0.2">
      <c r="A234" s="11" t="s">
        <v>255</v>
      </c>
      <c r="B234" s="12" t="s">
        <v>828</v>
      </c>
      <c r="C234" s="12"/>
      <c r="D234" s="12"/>
      <c r="E234" s="13"/>
      <c r="F234" s="13">
        <v>32</v>
      </c>
      <c r="G234" s="13"/>
      <c r="H234" s="144">
        <v>32</v>
      </c>
      <c r="I234" s="13"/>
      <c r="J234" s="13">
        <v>100</v>
      </c>
    </row>
    <row r="235" spans="1:10" ht="78.75" x14ac:dyDescent="0.2">
      <c r="A235" s="14" t="s">
        <v>581</v>
      </c>
      <c r="B235" s="12" t="s">
        <v>582</v>
      </c>
      <c r="C235" s="12"/>
      <c r="D235" s="12"/>
      <c r="E235" s="13"/>
      <c r="F235" s="13">
        <v>32</v>
      </c>
      <c r="G235" s="13"/>
      <c r="H235" s="144">
        <v>32</v>
      </c>
      <c r="I235" s="13"/>
      <c r="J235" s="13">
        <v>100</v>
      </c>
    </row>
    <row r="236" spans="1:10" ht="67.5" x14ac:dyDescent="0.2">
      <c r="A236" s="18" t="s">
        <v>581</v>
      </c>
      <c r="B236" s="16" t="s">
        <v>764</v>
      </c>
      <c r="C236" s="16" t="s">
        <v>23</v>
      </c>
      <c r="D236" s="16" t="s">
        <v>24</v>
      </c>
      <c r="E236" s="17"/>
      <c r="F236" s="17">
        <v>32</v>
      </c>
      <c r="G236" s="17"/>
      <c r="H236" s="143">
        <v>32</v>
      </c>
      <c r="I236" s="17"/>
      <c r="J236" s="17">
        <v>100</v>
      </c>
    </row>
    <row r="237" spans="1:10" ht="22.5" x14ac:dyDescent="0.2">
      <c r="A237" s="11" t="s">
        <v>256</v>
      </c>
      <c r="B237" s="12" t="s">
        <v>257</v>
      </c>
      <c r="C237" s="12"/>
      <c r="D237" s="12"/>
      <c r="E237" s="13">
        <v>60.6</v>
      </c>
      <c r="F237" s="13"/>
      <c r="G237" s="13"/>
      <c r="H237" s="144"/>
      <c r="I237" s="13"/>
      <c r="J237" s="13"/>
    </row>
    <row r="238" spans="1:10" s="110" customFormat="1" ht="45" x14ac:dyDescent="0.2">
      <c r="A238" s="109" t="s">
        <v>258</v>
      </c>
      <c r="B238" s="19" t="s">
        <v>259</v>
      </c>
      <c r="C238" s="19"/>
      <c r="D238" s="19"/>
      <c r="E238" s="45">
        <v>60.6</v>
      </c>
      <c r="F238" s="45"/>
      <c r="G238" s="45"/>
      <c r="H238" s="142"/>
      <c r="I238" s="45"/>
      <c r="J238" s="45"/>
    </row>
    <row r="239" spans="1:10" ht="45" x14ac:dyDescent="0.2">
      <c r="A239" s="11" t="s">
        <v>260</v>
      </c>
      <c r="B239" s="12" t="s">
        <v>261</v>
      </c>
      <c r="C239" s="12"/>
      <c r="D239" s="12"/>
      <c r="E239" s="13">
        <v>60.6</v>
      </c>
      <c r="F239" s="13"/>
      <c r="G239" s="13"/>
      <c r="H239" s="144"/>
      <c r="I239" s="13"/>
      <c r="J239" s="13"/>
    </row>
    <row r="240" spans="1:10" ht="45" x14ac:dyDescent="0.2">
      <c r="A240" s="15" t="s">
        <v>260</v>
      </c>
      <c r="B240" s="16" t="s">
        <v>483</v>
      </c>
      <c r="C240" s="16" t="s">
        <v>23</v>
      </c>
      <c r="D240" s="16" t="s">
        <v>24</v>
      </c>
      <c r="E240" s="17">
        <v>60.6</v>
      </c>
      <c r="F240" s="17"/>
      <c r="G240" s="17"/>
      <c r="H240" s="143"/>
      <c r="I240" s="17"/>
      <c r="J240" s="17"/>
    </row>
    <row r="241" spans="1:10" s="130" customFormat="1" ht="101.25" x14ac:dyDescent="0.2">
      <c r="A241" s="152" t="s">
        <v>262</v>
      </c>
      <c r="B241" s="113" t="s">
        <v>263</v>
      </c>
      <c r="C241" s="113"/>
      <c r="D241" s="113"/>
      <c r="E241" s="68">
        <v>886.6</v>
      </c>
      <c r="F241" s="68">
        <v>455.3</v>
      </c>
      <c r="G241" s="68">
        <v>1.7</v>
      </c>
      <c r="H241" s="145">
        <v>97.867000000000004</v>
      </c>
      <c r="I241" s="68">
        <v>11.039</v>
      </c>
      <c r="J241" s="68">
        <v>21.495000000000001</v>
      </c>
    </row>
    <row r="242" spans="1:10" s="110" customFormat="1" ht="33.75" x14ac:dyDescent="0.2">
      <c r="A242" s="109" t="s">
        <v>264</v>
      </c>
      <c r="B242" s="19" t="s">
        <v>265</v>
      </c>
      <c r="C242" s="19"/>
      <c r="D242" s="19"/>
      <c r="E242" s="45">
        <v>116.3</v>
      </c>
      <c r="F242" s="45">
        <v>74.900000000000006</v>
      </c>
      <c r="G242" s="45"/>
      <c r="H242" s="142">
        <v>43.667000000000002</v>
      </c>
      <c r="I242" s="45">
        <v>37.546999999999997</v>
      </c>
      <c r="J242" s="45">
        <v>58.3</v>
      </c>
    </row>
    <row r="243" spans="1:10" ht="33.75" x14ac:dyDescent="0.2">
      <c r="A243" s="15" t="s">
        <v>264</v>
      </c>
      <c r="B243" s="16" t="s">
        <v>266</v>
      </c>
      <c r="C243" s="16" t="s">
        <v>23</v>
      </c>
      <c r="D243" s="16" t="s">
        <v>24</v>
      </c>
      <c r="E243" s="17">
        <v>16.7</v>
      </c>
      <c r="F243" s="17"/>
      <c r="G243" s="17"/>
      <c r="H243" s="143"/>
      <c r="I243" s="17"/>
      <c r="J243" s="17"/>
    </row>
    <row r="244" spans="1:10" ht="33.75" x14ac:dyDescent="0.2">
      <c r="A244" s="15" t="s">
        <v>264</v>
      </c>
      <c r="B244" s="16" t="s">
        <v>832</v>
      </c>
      <c r="C244" s="16" t="s">
        <v>23</v>
      </c>
      <c r="D244" s="16" t="s">
        <v>24</v>
      </c>
      <c r="E244" s="17">
        <v>99.6</v>
      </c>
      <c r="F244" s="17">
        <v>74.900000000000006</v>
      </c>
      <c r="G244" s="17"/>
      <c r="H244" s="143">
        <v>43.667000000000002</v>
      </c>
      <c r="I244" s="17">
        <v>43.841999999999999</v>
      </c>
      <c r="J244" s="17">
        <v>58.3</v>
      </c>
    </row>
    <row r="245" spans="1:10" ht="33.75" x14ac:dyDescent="0.2">
      <c r="A245" s="150" t="s">
        <v>267</v>
      </c>
      <c r="B245" s="151" t="s">
        <v>268</v>
      </c>
      <c r="C245" s="12"/>
      <c r="D245" s="12"/>
      <c r="E245" s="13">
        <v>36.700000000000003</v>
      </c>
      <c r="F245" s="13">
        <v>38.6</v>
      </c>
      <c r="G245" s="13">
        <v>1.7</v>
      </c>
      <c r="H245" s="144">
        <v>34.200000000000003</v>
      </c>
      <c r="I245" s="13">
        <v>93.188000000000002</v>
      </c>
      <c r="J245" s="13">
        <v>88.600999999999999</v>
      </c>
    </row>
    <row r="246" spans="1:10" ht="22.5" x14ac:dyDescent="0.2">
      <c r="A246" s="15" t="s">
        <v>267</v>
      </c>
      <c r="B246" s="16" t="s">
        <v>269</v>
      </c>
      <c r="C246" s="16" t="s">
        <v>23</v>
      </c>
      <c r="D246" s="16" t="s">
        <v>24</v>
      </c>
      <c r="E246" s="17">
        <v>36.700000000000003</v>
      </c>
      <c r="F246" s="17"/>
      <c r="G246" s="17"/>
      <c r="H246" s="143"/>
      <c r="I246" s="17"/>
      <c r="J246" s="17"/>
    </row>
    <row r="247" spans="1:10" ht="56.25" x14ac:dyDescent="0.2">
      <c r="A247" s="11" t="s">
        <v>270</v>
      </c>
      <c r="B247" s="12" t="s">
        <v>271</v>
      </c>
      <c r="C247" s="12"/>
      <c r="D247" s="12"/>
      <c r="E247" s="13"/>
      <c r="F247" s="13">
        <v>38.6</v>
      </c>
      <c r="G247" s="13">
        <v>1.7</v>
      </c>
      <c r="H247" s="144">
        <v>34.200000000000003</v>
      </c>
      <c r="I247" s="13"/>
      <c r="J247" s="13">
        <v>88.600999999999999</v>
      </c>
    </row>
    <row r="248" spans="1:10" ht="56.25" x14ac:dyDescent="0.2">
      <c r="A248" s="15" t="s">
        <v>270</v>
      </c>
      <c r="B248" s="20" t="s">
        <v>272</v>
      </c>
      <c r="C248" s="16" t="s">
        <v>23</v>
      </c>
      <c r="D248" s="16" t="s">
        <v>24</v>
      </c>
      <c r="E248" s="17"/>
      <c r="F248" s="17">
        <v>38.6</v>
      </c>
      <c r="G248" s="17">
        <v>1.7</v>
      </c>
      <c r="H248" s="143">
        <v>34.200000000000003</v>
      </c>
      <c r="I248" s="17"/>
      <c r="J248" s="17">
        <v>88.600999999999999</v>
      </c>
    </row>
    <row r="249" spans="1:10" s="110" customFormat="1" ht="22.5" x14ac:dyDescent="0.2">
      <c r="A249" s="109" t="s">
        <v>273</v>
      </c>
      <c r="B249" s="19" t="s">
        <v>274</v>
      </c>
      <c r="C249" s="19"/>
      <c r="D249" s="19"/>
      <c r="E249" s="45">
        <v>733.6</v>
      </c>
      <c r="F249" s="45">
        <v>341.8</v>
      </c>
      <c r="G249" s="45"/>
      <c r="H249" s="142">
        <v>20</v>
      </c>
      <c r="I249" s="45">
        <v>2.726</v>
      </c>
      <c r="J249" s="45">
        <v>5.851</v>
      </c>
    </row>
    <row r="250" spans="1:10" ht="22.5" x14ac:dyDescent="0.2">
      <c r="A250" s="15" t="s">
        <v>273</v>
      </c>
      <c r="B250" s="16" t="s">
        <v>275</v>
      </c>
      <c r="C250" s="16" t="s">
        <v>23</v>
      </c>
      <c r="D250" s="16" t="s">
        <v>24</v>
      </c>
      <c r="E250" s="17">
        <v>733.6</v>
      </c>
      <c r="F250" s="17"/>
      <c r="G250" s="17"/>
      <c r="H250" s="143"/>
      <c r="I250" s="17"/>
      <c r="J250" s="17"/>
    </row>
    <row r="251" spans="1:10" ht="56.25" x14ac:dyDescent="0.2">
      <c r="A251" s="11" t="s">
        <v>276</v>
      </c>
      <c r="B251" s="12" t="s">
        <v>277</v>
      </c>
      <c r="C251" s="12"/>
      <c r="D251" s="12"/>
      <c r="E251" s="13"/>
      <c r="F251" s="13">
        <v>341.8</v>
      </c>
      <c r="G251" s="13"/>
      <c r="H251" s="144">
        <v>20</v>
      </c>
      <c r="I251" s="13"/>
      <c r="J251" s="13">
        <v>5.851</v>
      </c>
    </row>
    <row r="252" spans="1:10" ht="56.25" x14ac:dyDescent="0.2">
      <c r="A252" s="15" t="s">
        <v>276</v>
      </c>
      <c r="B252" s="16" t="s">
        <v>278</v>
      </c>
      <c r="C252" s="16" t="s">
        <v>23</v>
      </c>
      <c r="D252" s="16" t="s">
        <v>24</v>
      </c>
      <c r="E252" s="17"/>
      <c r="F252" s="17">
        <v>341.8</v>
      </c>
      <c r="G252" s="17"/>
      <c r="H252" s="143">
        <v>20</v>
      </c>
      <c r="I252" s="17"/>
      <c r="J252" s="17">
        <v>5.851</v>
      </c>
    </row>
    <row r="253" spans="1:10" s="110" customFormat="1" ht="56.25" x14ac:dyDescent="0.2">
      <c r="A253" s="109" t="s">
        <v>279</v>
      </c>
      <c r="B253" s="19" t="s">
        <v>280</v>
      </c>
      <c r="C253" s="19"/>
      <c r="D253" s="19"/>
      <c r="E253" s="45">
        <v>298.89999999999998</v>
      </c>
      <c r="F253" s="45">
        <v>511.4</v>
      </c>
      <c r="G253" s="45">
        <v>42.886000000000003</v>
      </c>
      <c r="H253" s="142">
        <v>524.01800000000003</v>
      </c>
      <c r="I253" s="45">
        <v>175.316</v>
      </c>
      <c r="J253" s="45">
        <v>102.467</v>
      </c>
    </row>
    <row r="254" spans="1:10" ht="45" x14ac:dyDescent="0.2">
      <c r="A254" s="15" t="s">
        <v>279</v>
      </c>
      <c r="B254" s="16" t="s">
        <v>281</v>
      </c>
      <c r="C254" s="16" t="s">
        <v>23</v>
      </c>
      <c r="D254" s="16" t="s">
        <v>24</v>
      </c>
      <c r="E254" s="17">
        <v>262.89999999999998</v>
      </c>
      <c r="F254" s="17"/>
      <c r="G254" s="17"/>
      <c r="H254" s="143"/>
      <c r="I254" s="17"/>
      <c r="J254" s="17"/>
    </row>
    <row r="255" spans="1:10" ht="45" x14ac:dyDescent="0.2">
      <c r="A255" s="15" t="s">
        <v>279</v>
      </c>
      <c r="B255" s="16" t="s">
        <v>282</v>
      </c>
      <c r="C255" s="16" t="s">
        <v>23</v>
      </c>
      <c r="D255" s="16" t="s">
        <v>24</v>
      </c>
      <c r="E255" s="17">
        <v>36</v>
      </c>
      <c r="F255" s="17"/>
      <c r="G255" s="17"/>
      <c r="H255" s="143"/>
      <c r="I255" s="17"/>
      <c r="J255" s="17"/>
    </row>
    <row r="256" spans="1:10" ht="90" x14ac:dyDescent="0.2">
      <c r="A256" s="14" t="s">
        <v>283</v>
      </c>
      <c r="B256" s="12" t="s">
        <v>284</v>
      </c>
      <c r="C256" s="12"/>
      <c r="D256" s="12"/>
      <c r="E256" s="13"/>
      <c r="F256" s="13">
        <v>511.4</v>
      </c>
      <c r="G256" s="13">
        <v>42.886000000000003</v>
      </c>
      <c r="H256" s="144">
        <v>524.01800000000003</v>
      </c>
      <c r="I256" s="13"/>
      <c r="J256" s="13">
        <v>102.467</v>
      </c>
    </row>
    <row r="257" spans="1:10" s="110" customFormat="1" ht="78.75" x14ac:dyDescent="0.2">
      <c r="A257" s="134" t="s">
        <v>283</v>
      </c>
      <c r="B257" s="20" t="s">
        <v>285</v>
      </c>
      <c r="C257" s="20" t="s">
        <v>23</v>
      </c>
      <c r="D257" s="20" t="s">
        <v>24</v>
      </c>
      <c r="E257" s="93"/>
      <c r="F257" s="93">
        <v>493.4</v>
      </c>
      <c r="G257" s="93">
        <v>39.700000000000003</v>
      </c>
      <c r="H257" s="146">
        <v>503.1</v>
      </c>
      <c r="I257" s="93"/>
      <c r="J257" s="93">
        <v>101.96599999999999</v>
      </c>
    </row>
    <row r="258" spans="1:10" s="110" customFormat="1" ht="78.75" x14ac:dyDescent="0.2">
      <c r="A258" s="134" t="s">
        <v>283</v>
      </c>
      <c r="B258" s="20" t="s">
        <v>286</v>
      </c>
      <c r="C258" s="20" t="s">
        <v>23</v>
      </c>
      <c r="D258" s="20" t="s">
        <v>24</v>
      </c>
      <c r="E258" s="93"/>
      <c r="F258" s="93">
        <v>18</v>
      </c>
      <c r="G258" s="93">
        <v>3.1859999999999999</v>
      </c>
      <c r="H258" s="146">
        <v>20.917999999999999</v>
      </c>
      <c r="I258" s="93"/>
      <c r="J258" s="93">
        <v>116.211</v>
      </c>
    </row>
    <row r="259" spans="1:10" ht="22.5" x14ac:dyDescent="0.2">
      <c r="A259" s="11" t="s">
        <v>287</v>
      </c>
      <c r="B259" s="12" t="s">
        <v>288</v>
      </c>
      <c r="C259" s="12"/>
      <c r="D259" s="12"/>
      <c r="E259" s="13">
        <v>88.4</v>
      </c>
      <c r="F259" s="13">
        <v>168.9</v>
      </c>
      <c r="G259" s="13">
        <v>2.5</v>
      </c>
      <c r="H259" s="144">
        <v>159.01900000000001</v>
      </c>
      <c r="I259" s="13">
        <v>179.88499999999999</v>
      </c>
      <c r="J259" s="13">
        <v>94.15</v>
      </c>
    </row>
    <row r="260" spans="1:10" s="110" customFormat="1" ht="45" x14ac:dyDescent="0.2">
      <c r="A260" s="109" t="s">
        <v>289</v>
      </c>
      <c r="B260" s="19" t="s">
        <v>290</v>
      </c>
      <c r="C260" s="19"/>
      <c r="D260" s="19"/>
      <c r="E260" s="45">
        <v>31.4</v>
      </c>
      <c r="F260" s="45">
        <v>18.899999999999999</v>
      </c>
      <c r="G260" s="45"/>
      <c r="H260" s="142">
        <v>11</v>
      </c>
      <c r="I260" s="45">
        <v>35.031999999999996</v>
      </c>
      <c r="J260" s="45">
        <v>58.201000000000001</v>
      </c>
    </row>
    <row r="261" spans="1:10" s="130" customFormat="1" ht="56.25" x14ac:dyDescent="0.2">
      <c r="A261" s="129" t="s">
        <v>291</v>
      </c>
      <c r="B261" s="113" t="s">
        <v>292</v>
      </c>
      <c r="C261" s="113"/>
      <c r="D261" s="113"/>
      <c r="E261" s="68">
        <v>31.4</v>
      </c>
      <c r="F261" s="68">
        <v>18.899999999999999</v>
      </c>
      <c r="G261" s="68"/>
      <c r="H261" s="145">
        <v>11</v>
      </c>
      <c r="I261" s="68">
        <v>35.031999999999996</v>
      </c>
      <c r="J261" s="68">
        <v>58.201000000000001</v>
      </c>
    </row>
    <row r="262" spans="1:10" ht="45" x14ac:dyDescent="0.2">
      <c r="A262" s="15" t="s">
        <v>291</v>
      </c>
      <c r="B262" s="16" t="s">
        <v>293</v>
      </c>
      <c r="C262" s="16" t="s">
        <v>23</v>
      </c>
      <c r="D262" s="16" t="s">
        <v>24</v>
      </c>
      <c r="E262" s="17">
        <v>31.4</v>
      </c>
      <c r="F262" s="17"/>
      <c r="G262" s="17"/>
      <c r="H262" s="143"/>
      <c r="I262" s="17"/>
      <c r="J262" s="17"/>
    </row>
    <row r="263" spans="1:10" ht="90" x14ac:dyDescent="0.2">
      <c r="A263" s="14" t="s">
        <v>294</v>
      </c>
      <c r="B263" s="12" t="s">
        <v>295</v>
      </c>
      <c r="C263" s="12"/>
      <c r="D263" s="12"/>
      <c r="E263" s="13"/>
      <c r="F263" s="13">
        <v>18.899999999999999</v>
      </c>
      <c r="G263" s="13"/>
      <c r="H263" s="144">
        <v>11</v>
      </c>
      <c r="I263" s="13"/>
      <c r="J263" s="13">
        <v>58.201000000000001</v>
      </c>
    </row>
    <row r="264" spans="1:10" s="110" customFormat="1" ht="78.75" x14ac:dyDescent="0.2">
      <c r="A264" s="134" t="s">
        <v>294</v>
      </c>
      <c r="B264" s="20" t="s">
        <v>296</v>
      </c>
      <c r="C264" s="20" t="s">
        <v>23</v>
      </c>
      <c r="D264" s="20" t="s">
        <v>24</v>
      </c>
      <c r="E264" s="93"/>
      <c r="F264" s="93">
        <v>18.899999999999999</v>
      </c>
      <c r="G264" s="93"/>
      <c r="H264" s="146">
        <v>11</v>
      </c>
      <c r="I264" s="93"/>
      <c r="J264" s="93">
        <v>58.201000000000001</v>
      </c>
    </row>
    <row r="265" spans="1:10" s="110" customFormat="1" ht="22.5" x14ac:dyDescent="0.2">
      <c r="A265" s="109" t="s">
        <v>297</v>
      </c>
      <c r="B265" s="19" t="s">
        <v>298</v>
      </c>
      <c r="C265" s="19"/>
      <c r="D265" s="19"/>
      <c r="E265" s="45">
        <v>57</v>
      </c>
      <c r="F265" s="45">
        <v>150</v>
      </c>
      <c r="G265" s="45">
        <v>2.5</v>
      </c>
      <c r="H265" s="142">
        <v>148.01900000000001</v>
      </c>
      <c r="I265" s="45">
        <v>259.68200000000002</v>
      </c>
      <c r="J265" s="45">
        <v>98.679000000000002</v>
      </c>
    </row>
    <row r="266" spans="1:10" ht="22.5" x14ac:dyDescent="0.2">
      <c r="A266" s="15" t="s">
        <v>297</v>
      </c>
      <c r="B266" s="16" t="s">
        <v>299</v>
      </c>
      <c r="C266" s="16" t="s">
        <v>23</v>
      </c>
      <c r="D266" s="16" t="s">
        <v>24</v>
      </c>
      <c r="E266" s="17">
        <v>57</v>
      </c>
      <c r="F266" s="17"/>
      <c r="G266" s="17"/>
      <c r="H266" s="143"/>
      <c r="I266" s="17"/>
      <c r="J266" s="17"/>
    </row>
    <row r="267" spans="1:10" ht="56.25" x14ac:dyDescent="0.2">
      <c r="A267" s="11" t="s">
        <v>300</v>
      </c>
      <c r="B267" s="12" t="s">
        <v>301</v>
      </c>
      <c r="C267" s="12"/>
      <c r="D267" s="12"/>
      <c r="E267" s="13"/>
      <c r="F267" s="13">
        <v>150</v>
      </c>
      <c r="G267" s="13">
        <v>2.5</v>
      </c>
      <c r="H267" s="144">
        <v>148.01900000000001</v>
      </c>
      <c r="I267" s="13"/>
      <c r="J267" s="13">
        <v>98.679000000000002</v>
      </c>
    </row>
    <row r="268" spans="1:10" s="110" customFormat="1" ht="56.25" x14ac:dyDescent="0.2">
      <c r="A268" s="123" t="s">
        <v>300</v>
      </c>
      <c r="B268" s="20" t="s">
        <v>302</v>
      </c>
      <c r="C268" s="20" t="s">
        <v>23</v>
      </c>
      <c r="D268" s="20" t="s">
        <v>24</v>
      </c>
      <c r="E268" s="93"/>
      <c r="F268" s="93">
        <v>150</v>
      </c>
      <c r="G268" s="93">
        <v>2.5</v>
      </c>
      <c r="H268" s="146">
        <v>148.01900000000001</v>
      </c>
      <c r="I268" s="93"/>
      <c r="J268" s="93">
        <v>98.679000000000002</v>
      </c>
    </row>
    <row r="269" spans="1:10" ht="56.25" x14ac:dyDescent="0.2">
      <c r="A269" s="11" t="s">
        <v>303</v>
      </c>
      <c r="B269" s="12" t="s">
        <v>304</v>
      </c>
      <c r="C269" s="12"/>
      <c r="D269" s="12"/>
      <c r="E269" s="13"/>
      <c r="F269" s="13">
        <v>30.2</v>
      </c>
      <c r="G269" s="13"/>
      <c r="H269" s="144">
        <v>30.192</v>
      </c>
      <c r="I269" s="13"/>
      <c r="J269" s="13">
        <v>99.974999999999994</v>
      </c>
    </row>
    <row r="270" spans="1:10" s="110" customFormat="1" ht="67.5" x14ac:dyDescent="0.2">
      <c r="A270" s="109" t="s">
        <v>305</v>
      </c>
      <c r="B270" s="19" t="s">
        <v>306</v>
      </c>
      <c r="C270" s="19"/>
      <c r="D270" s="19"/>
      <c r="E270" s="45"/>
      <c r="F270" s="45">
        <v>30.2</v>
      </c>
      <c r="G270" s="45"/>
      <c r="H270" s="142">
        <v>30.192</v>
      </c>
      <c r="I270" s="45"/>
      <c r="J270" s="45">
        <v>99.974999999999994</v>
      </c>
    </row>
    <row r="271" spans="1:10" s="110" customFormat="1" ht="56.25" x14ac:dyDescent="0.2">
      <c r="A271" s="123" t="s">
        <v>305</v>
      </c>
      <c r="B271" s="20" t="s">
        <v>307</v>
      </c>
      <c r="C271" s="20" t="s">
        <v>23</v>
      </c>
      <c r="D271" s="20" t="s">
        <v>24</v>
      </c>
      <c r="E271" s="93"/>
      <c r="F271" s="93">
        <v>30</v>
      </c>
      <c r="G271" s="93"/>
      <c r="H271" s="146">
        <v>30</v>
      </c>
      <c r="I271" s="93"/>
      <c r="J271" s="93">
        <v>100</v>
      </c>
    </row>
    <row r="272" spans="1:10" s="110" customFormat="1" ht="56.25" x14ac:dyDescent="0.2">
      <c r="A272" s="123" t="s">
        <v>305</v>
      </c>
      <c r="B272" s="20" t="s">
        <v>765</v>
      </c>
      <c r="C272" s="20" t="s">
        <v>23</v>
      </c>
      <c r="D272" s="20" t="s">
        <v>24</v>
      </c>
      <c r="E272" s="93"/>
      <c r="F272" s="93">
        <v>0.2</v>
      </c>
      <c r="G272" s="93"/>
      <c r="H272" s="146">
        <v>0.192</v>
      </c>
      <c r="I272" s="93"/>
      <c r="J272" s="93">
        <v>96.15</v>
      </c>
    </row>
    <row r="273" spans="1:10" ht="22.5" x14ac:dyDescent="0.2">
      <c r="A273" s="11" t="s">
        <v>308</v>
      </c>
      <c r="B273" s="12" t="s">
        <v>309</v>
      </c>
      <c r="C273" s="12"/>
      <c r="D273" s="12"/>
      <c r="E273" s="13">
        <v>20</v>
      </c>
      <c r="F273" s="13">
        <v>58.1</v>
      </c>
      <c r="G273" s="13"/>
      <c r="H273" s="144">
        <v>31.628</v>
      </c>
      <c r="I273" s="13">
        <v>158.13999999999999</v>
      </c>
      <c r="J273" s="13">
        <v>54.436999999999998</v>
      </c>
    </row>
    <row r="274" spans="1:10" s="110" customFormat="1" ht="33.75" x14ac:dyDescent="0.2">
      <c r="A274" s="109" t="s">
        <v>310</v>
      </c>
      <c r="B274" s="19" t="s">
        <v>311</v>
      </c>
      <c r="C274" s="19"/>
      <c r="D274" s="19"/>
      <c r="E274" s="45">
        <v>20</v>
      </c>
      <c r="F274" s="45">
        <v>58.1</v>
      </c>
      <c r="G274" s="45"/>
      <c r="H274" s="142">
        <v>31.628</v>
      </c>
      <c r="I274" s="45">
        <v>158.13999999999999</v>
      </c>
      <c r="J274" s="45">
        <v>54.436999999999998</v>
      </c>
    </row>
    <row r="275" spans="1:10" ht="33.75" x14ac:dyDescent="0.2">
      <c r="A275" s="15" t="s">
        <v>310</v>
      </c>
      <c r="B275" s="16" t="s">
        <v>312</v>
      </c>
      <c r="C275" s="16" t="s">
        <v>23</v>
      </c>
      <c r="D275" s="16" t="s">
        <v>24</v>
      </c>
      <c r="E275" s="17">
        <v>20</v>
      </c>
      <c r="F275" s="17"/>
      <c r="G275" s="17"/>
      <c r="H275" s="143"/>
      <c r="I275" s="17"/>
      <c r="J275" s="17"/>
    </row>
    <row r="276" spans="1:10" ht="67.5" x14ac:dyDescent="0.2">
      <c r="A276" s="11" t="s">
        <v>313</v>
      </c>
      <c r="B276" s="12" t="s">
        <v>314</v>
      </c>
      <c r="C276" s="12"/>
      <c r="D276" s="12"/>
      <c r="E276" s="13"/>
      <c r="F276" s="13">
        <v>58.1</v>
      </c>
      <c r="G276" s="13"/>
      <c r="H276" s="144">
        <v>31.628</v>
      </c>
      <c r="I276" s="13"/>
      <c r="J276" s="13">
        <v>54.436999999999998</v>
      </c>
    </row>
    <row r="277" spans="1:10" s="110" customFormat="1" ht="67.5" x14ac:dyDescent="0.2">
      <c r="A277" s="123" t="s">
        <v>313</v>
      </c>
      <c r="B277" s="20" t="s">
        <v>315</v>
      </c>
      <c r="C277" s="20" t="s">
        <v>23</v>
      </c>
      <c r="D277" s="20" t="s">
        <v>24</v>
      </c>
      <c r="E277" s="93"/>
      <c r="F277" s="93">
        <v>58.1</v>
      </c>
      <c r="G277" s="93"/>
      <c r="H277" s="146">
        <v>31.628</v>
      </c>
      <c r="I277" s="93"/>
      <c r="J277" s="93">
        <v>54.436999999999998</v>
      </c>
    </row>
    <row r="278" spans="1:10" ht="68.25" customHeight="1" x14ac:dyDescent="0.2">
      <c r="A278" s="11" t="s">
        <v>316</v>
      </c>
      <c r="B278" s="12" t="s">
        <v>317</v>
      </c>
      <c r="C278" s="12"/>
      <c r="D278" s="12"/>
      <c r="E278" s="13">
        <v>62</v>
      </c>
      <c r="F278" s="13">
        <v>298</v>
      </c>
      <c r="G278" s="13">
        <v>3.4849999999999999</v>
      </c>
      <c r="H278" s="144">
        <v>267.56</v>
      </c>
      <c r="I278" s="13">
        <v>431.548</v>
      </c>
      <c r="J278" s="13">
        <v>89.784999999999997</v>
      </c>
    </row>
    <row r="279" spans="1:10" ht="56.25" x14ac:dyDescent="0.2">
      <c r="A279" s="15" t="s">
        <v>316</v>
      </c>
      <c r="B279" s="16" t="s">
        <v>766</v>
      </c>
      <c r="C279" s="16" t="s">
        <v>23</v>
      </c>
      <c r="D279" s="16" t="s">
        <v>24</v>
      </c>
      <c r="E279" s="17">
        <v>62</v>
      </c>
      <c r="F279" s="17"/>
      <c r="G279" s="17"/>
      <c r="H279" s="143"/>
      <c r="I279" s="17"/>
      <c r="J279" s="17"/>
    </row>
    <row r="280" spans="1:10" ht="56.25" x14ac:dyDescent="0.2">
      <c r="A280" s="15" t="s">
        <v>316</v>
      </c>
      <c r="B280" s="16" t="s">
        <v>767</v>
      </c>
      <c r="C280" s="16" t="s">
        <v>23</v>
      </c>
      <c r="D280" s="16" t="s">
        <v>24</v>
      </c>
      <c r="E280" s="17"/>
      <c r="F280" s="17">
        <v>100</v>
      </c>
      <c r="G280" s="17"/>
      <c r="H280" s="143">
        <v>100</v>
      </c>
      <c r="I280" s="17"/>
      <c r="J280" s="17">
        <v>100</v>
      </c>
    </row>
    <row r="281" spans="1:10" ht="90" x14ac:dyDescent="0.2">
      <c r="A281" s="14" t="s">
        <v>318</v>
      </c>
      <c r="B281" s="12" t="s">
        <v>319</v>
      </c>
      <c r="C281" s="12"/>
      <c r="D281" s="12"/>
      <c r="E281" s="13"/>
      <c r="F281" s="13">
        <v>198</v>
      </c>
      <c r="G281" s="13">
        <v>3.4849999999999999</v>
      </c>
      <c r="H281" s="144">
        <v>167.56</v>
      </c>
      <c r="I281" s="13"/>
      <c r="J281" s="13">
        <v>84.626000000000005</v>
      </c>
    </row>
    <row r="282" spans="1:10" ht="90" x14ac:dyDescent="0.2">
      <c r="A282" s="18" t="s">
        <v>318</v>
      </c>
      <c r="B282" s="16" t="s">
        <v>768</v>
      </c>
      <c r="C282" s="16" t="s">
        <v>23</v>
      </c>
      <c r="D282" s="16" t="s">
        <v>24</v>
      </c>
      <c r="E282" s="17"/>
      <c r="F282" s="17">
        <v>36.9</v>
      </c>
      <c r="G282" s="17"/>
      <c r="H282" s="143">
        <v>36.863999999999997</v>
      </c>
      <c r="I282" s="17"/>
      <c r="J282" s="17">
        <v>99.902000000000001</v>
      </c>
    </row>
    <row r="283" spans="1:10" ht="90" x14ac:dyDescent="0.2">
      <c r="A283" s="18" t="s">
        <v>318</v>
      </c>
      <c r="B283" s="16" t="s">
        <v>320</v>
      </c>
      <c r="C283" s="16" t="s">
        <v>23</v>
      </c>
      <c r="D283" s="16" t="s">
        <v>24</v>
      </c>
      <c r="E283" s="17"/>
      <c r="F283" s="17">
        <v>160</v>
      </c>
      <c r="G283" s="17">
        <v>3.4849999999999999</v>
      </c>
      <c r="H283" s="143">
        <v>129.666</v>
      </c>
      <c r="I283" s="17"/>
      <c r="J283" s="17">
        <v>81.040999999999997</v>
      </c>
    </row>
    <row r="284" spans="1:10" ht="90" x14ac:dyDescent="0.2">
      <c r="A284" s="18" t="s">
        <v>318</v>
      </c>
      <c r="B284" s="16" t="s">
        <v>769</v>
      </c>
      <c r="C284" s="16" t="s">
        <v>23</v>
      </c>
      <c r="D284" s="16" t="s">
        <v>24</v>
      </c>
      <c r="E284" s="17"/>
      <c r="F284" s="17">
        <v>1.1000000000000001</v>
      </c>
      <c r="G284" s="17"/>
      <c r="H284" s="143">
        <v>1.03</v>
      </c>
      <c r="I284" s="17"/>
      <c r="J284" s="17">
        <v>93.635999999999996</v>
      </c>
    </row>
    <row r="285" spans="1:10" ht="22.5" x14ac:dyDescent="0.2">
      <c r="A285" s="11" t="s">
        <v>321</v>
      </c>
      <c r="B285" s="12" t="s">
        <v>322</v>
      </c>
      <c r="C285" s="12"/>
      <c r="D285" s="12"/>
      <c r="E285" s="13">
        <v>2639.4</v>
      </c>
      <c r="F285" s="13">
        <v>2572.6999999999998</v>
      </c>
      <c r="G285" s="13">
        <v>66.215999999999994</v>
      </c>
      <c r="H285" s="144">
        <v>1830.826</v>
      </c>
      <c r="I285" s="13">
        <v>69.364999999999995</v>
      </c>
      <c r="J285" s="13">
        <v>71.164000000000001</v>
      </c>
    </row>
    <row r="286" spans="1:10" ht="33.75" x14ac:dyDescent="0.2">
      <c r="A286" s="11" t="s">
        <v>323</v>
      </c>
      <c r="B286" s="12" t="s">
        <v>324</v>
      </c>
      <c r="C286" s="12"/>
      <c r="D286" s="12"/>
      <c r="E286" s="13">
        <v>2639.4</v>
      </c>
      <c r="F286" s="13">
        <v>2572.6999999999998</v>
      </c>
      <c r="G286" s="13">
        <v>66.215999999999994</v>
      </c>
      <c r="H286" s="144">
        <v>1830.826</v>
      </c>
      <c r="I286" s="13">
        <v>69.364999999999995</v>
      </c>
      <c r="J286" s="13">
        <v>71.164000000000001</v>
      </c>
    </row>
    <row r="287" spans="1:10" ht="33.75" x14ac:dyDescent="0.2">
      <c r="A287" s="15" t="s">
        <v>323</v>
      </c>
      <c r="B287" s="16" t="s">
        <v>325</v>
      </c>
      <c r="C287" s="16" t="s">
        <v>23</v>
      </c>
      <c r="D287" s="16" t="s">
        <v>24</v>
      </c>
      <c r="E287" s="17">
        <v>390.8</v>
      </c>
      <c r="F287" s="17"/>
      <c r="G287" s="17"/>
      <c r="H287" s="143"/>
      <c r="I287" s="17"/>
      <c r="J287" s="17"/>
    </row>
    <row r="288" spans="1:10" ht="33.75" x14ac:dyDescent="0.2">
      <c r="A288" s="15" t="s">
        <v>323</v>
      </c>
      <c r="B288" s="16" t="s">
        <v>454</v>
      </c>
      <c r="C288" s="16" t="s">
        <v>23</v>
      </c>
      <c r="D288" s="16" t="s">
        <v>24</v>
      </c>
      <c r="E288" s="17">
        <v>99.6</v>
      </c>
      <c r="F288" s="17"/>
      <c r="G288" s="17"/>
      <c r="H288" s="143"/>
      <c r="I288" s="17"/>
      <c r="J288" s="17"/>
    </row>
    <row r="289" spans="1:10" ht="33.75" x14ac:dyDescent="0.2">
      <c r="A289" s="15" t="s">
        <v>323</v>
      </c>
      <c r="B289" s="16" t="s">
        <v>326</v>
      </c>
      <c r="C289" s="16" t="s">
        <v>23</v>
      </c>
      <c r="D289" s="16" t="s">
        <v>24</v>
      </c>
      <c r="E289" s="17">
        <v>32.6</v>
      </c>
      <c r="F289" s="17"/>
      <c r="G289" s="17"/>
      <c r="H289" s="143"/>
      <c r="I289" s="17"/>
      <c r="J289" s="17"/>
    </row>
    <row r="290" spans="1:10" ht="33.75" x14ac:dyDescent="0.2">
      <c r="A290" s="15" t="s">
        <v>323</v>
      </c>
      <c r="B290" s="16" t="s">
        <v>327</v>
      </c>
      <c r="C290" s="16" t="s">
        <v>23</v>
      </c>
      <c r="D290" s="16" t="s">
        <v>24</v>
      </c>
      <c r="E290" s="17">
        <v>1234.5999999999999</v>
      </c>
      <c r="F290" s="17"/>
      <c r="G290" s="17"/>
      <c r="H290" s="143"/>
      <c r="I290" s="17"/>
      <c r="J290" s="17"/>
    </row>
    <row r="291" spans="1:10" ht="33.75" x14ac:dyDescent="0.2">
      <c r="A291" s="15" t="s">
        <v>323</v>
      </c>
      <c r="B291" s="16" t="s">
        <v>328</v>
      </c>
      <c r="C291" s="16" t="s">
        <v>23</v>
      </c>
      <c r="D291" s="16" t="s">
        <v>24</v>
      </c>
      <c r="E291" s="17">
        <v>63.5</v>
      </c>
      <c r="F291" s="17"/>
      <c r="G291" s="17"/>
      <c r="H291" s="143"/>
      <c r="I291" s="17"/>
      <c r="J291" s="17"/>
    </row>
    <row r="292" spans="1:10" ht="33.75" x14ac:dyDescent="0.2">
      <c r="A292" s="15" t="s">
        <v>323</v>
      </c>
      <c r="B292" s="16" t="s">
        <v>329</v>
      </c>
      <c r="C292" s="16" t="s">
        <v>23</v>
      </c>
      <c r="D292" s="16" t="s">
        <v>24</v>
      </c>
      <c r="E292" s="17">
        <v>140</v>
      </c>
      <c r="F292" s="93">
        <v>77</v>
      </c>
      <c r="G292" s="17">
        <v>0.3</v>
      </c>
      <c r="H292" s="146">
        <v>35.58</v>
      </c>
      <c r="I292" s="17">
        <v>25.414000000000001</v>
      </c>
      <c r="J292" s="17">
        <v>46.207999999999998</v>
      </c>
    </row>
    <row r="293" spans="1:10" ht="33.75" x14ac:dyDescent="0.2">
      <c r="A293" s="15" t="s">
        <v>323</v>
      </c>
      <c r="B293" s="16" t="s">
        <v>770</v>
      </c>
      <c r="C293" s="16" t="s">
        <v>23</v>
      </c>
      <c r="D293" s="16" t="s">
        <v>24</v>
      </c>
      <c r="E293" s="17"/>
      <c r="F293" s="93">
        <v>50</v>
      </c>
      <c r="G293" s="17"/>
      <c r="H293" s="146">
        <v>50</v>
      </c>
      <c r="I293" s="17"/>
      <c r="J293" s="17">
        <v>100</v>
      </c>
    </row>
    <row r="294" spans="1:10" ht="33.75" x14ac:dyDescent="0.2">
      <c r="A294" s="15" t="s">
        <v>323</v>
      </c>
      <c r="B294" s="16" t="s">
        <v>330</v>
      </c>
      <c r="C294" s="16" t="s">
        <v>23</v>
      </c>
      <c r="D294" s="16" t="s">
        <v>24</v>
      </c>
      <c r="E294" s="17">
        <v>3</v>
      </c>
      <c r="F294" s="93">
        <v>120.6</v>
      </c>
      <c r="G294" s="17"/>
      <c r="H294" s="146">
        <v>120.6</v>
      </c>
      <c r="I294" s="17">
        <v>4020</v>
      </c>
      <c r="J294" s="17">
        <v>100</v>
      </c>
    </row>
    <row r="295" spans="1:10" ht="33.75" x14ac:dyDescent="0.2">
      <c r="A295" s="15" t="s">
        <v>323</v>
      </c>
      <c r="B295" s="16" t="s">
        <v>331</v>
      </c>
      <c r="C295" s="16" t="s">
        <v>23</v>
      </c>
      <c r="D295" s="16" t="s">
        <v>24</v>
      </c>
      <c r="E295" s="17">
        <v>53.5</v>
      </c>
      <c r="F295" s="93">
        <v>18</v>
      </c>
      <c r="G295" s="17">
        <v>3</v>
      </c>
      <c r="H295" s="146">
        <v>13.5</v>
      </c>
      <c r="I295" s="17">
        <v>25.234000000000002</v>
      </c>
      <c r="J295" s="17">
        <v>75</v>
      </c>
    </row>
    <row r="296" spans="1:10" ht="33.75" x14ac:dyDescent="0.2">
      <c r="A296" s="15" t="s">
        <v>323</v>
      </c>
      <c r="B296" s="16" t="s">
        <v>771</v>
      </c>
      <c r="C296" s="16" t="s">
        <v>23</v>
      </c>
      <c r="D296" s="16" t="s">
        <v>24</v>
      </c>
      <c r="E296" s="17"/>
      <c r="F296" s="17"/>
      <c r="G296" s="17">
        <v>1.5</v>
      </c>
      <c r="H296" s="143">
        <v>1.5</v>
      </c>
      <c r="I296" s="17"/>
      <c r="J296" s="17"/>
    </row>
    <row r="297" spans="1:10" ht="33.75" x14ac:dyDescent="0.2">
      <c r="A297" s="15" t="s">
        <v>323</v>
      </c>
      <c r="B297" s="16" t="s">
        <v>332</v>
      </c>
      <c r="C297" s="16" t="s">
        <v>23</v>
      </c>
      <c r="D297" s="16" t="s">
        <v>24</v>
      </c>
      <c r="E297" s="17">
        <v>600.79999999999995</v>
      </c>
      <c r="F297" s="93">
        <v>600.79999999999995</v>
      </c>
      <c r="G297" s="17">
        <v>24.486000000000001</v>
      </c>
      <c r="H297" s="146">
        <v>439.15100000000001</v>
      </c>
      <c r="I297" s="17">
        <v>73.093999999999994</v>
      </c>
      <c r="J297" s="17">
        <v>73.093999999999994</v>
      </c>
    </row>
    <row r="298" spans="1:10" ht="33.75" x14ac:dyDescent="0.2">
      <c r="A298" s="15" t="s">
        <v>323</v>
      </c>
      <c r="B298" s="16" t="s">
        <v>333</v>
      </c>
      <c r="C298" s="16" t="s">
        <v>23</v>
      </c>
      <c r="D298" s="16" t="s">
        <v>24</v>
      </c>
      <c r="E298" s="17">
        <v>21</v>
      </c>
      <c r="F298" s="17"/>
      <c r="G298" s="17"/>
      <c r="H298" s="143"/>
      <c r="I298" s="17"/>
      <c r="J298" s="17"/>
    </row>
    <row r="299" spans="1:10" ht="67.5" x14ac:dyDescent="0.2">
      <c r="A299" s="14" t="s">
        <v>334</v>
      </c>
      <c r="B299" s="12" t="s">
        <v>335</v>
      </c>
      <c r="C299" s="12"/>
      <c r="D299" s="12"/>
      <c r="E299" s="13"/>
      <c r="F299" s="13">
        <v>1675.1</v>
      </c>
      <c r="G299" s="13">
        <v>30.029</v>
      </c>
      <c r="H299" s="144">
        <v>1136.7950000000001</v>
      </c>
      <c r="I299" s="13"/>
      <c r="J299" s="13">
        <v>67.864000000000004</v>
      </c>
    </row>
    <row r="300" spans="1:10" ht="67.5" x14ac:dyDescent="0.2">
      <c r="A300" s="18" t="s">
        <v>334</v>
      </c>
      <c r="B300" s="16" t="s">
        <v>336</v>
      </c>
      <c r="C300" s="16" t="s">
        <v>23</v>
      </c>
      <c r="D300" s="16" t="s">
        <v>24</v>
      </c>
      <c r="E300" s="17"/>
      <c r="F300" s="93">
        <v>390.8</v>
      </c>
      <c r="G300" s="17">
        <v>50.460999999999999</v>
      </c>
      <c r="H300" s="146">
        <v>313.49</v>
      </c>
      <c r="I300" s="17"/>
      <c r="J300" s="17">
        <v>80.218000000000004</v>
      </c>
    </row>
    <row r="301" spans="1:10" ht="67.5" x14ac:dyDescent="0.2">
      <c r="A301" s="18" t="s">
        <v>334</v>
      </c>
      <c r="B301" s="16" t="s">
        <v>337</v>
      </c>
      <c r="C301" s="16" t="s">
        <v>23</v>
      </c>
      <c r="D301" s="16" t="s">
        <v>24</v>
      </c>
      <c r="E301" s="17"/>
      <c r="F301" s="93">
        <v>64</v>
      </c>
      <c r="G301" s="17"/>
      <c r="H301" s="146">
        <v>40</v>
      </c>
      <c r="I301" s="17"/>
      <c r="J301" s="17">
        <v>62.5</v>
      </c>
    </row>
    <row r="302" spans="1:10" ht="67.5" x14ac:dyDescent="0.2">
      <c r="A302" s="18" t="s">
        <v>334</v>
      </c>
      <c r="B302" s="16" t="s">
        <v>338</v>
      </c>
      <c r="C302" s="16" t="s">
        <v>23</v>
      </c>
      <c r="D302" s="16" t="s">
        <v>24</v>
      </c>
      <c r="E302" s="17"/>
      <c r="F302" s="93">
        <v>1150</v>
      </c>
      <c r="G302" s="17">
        <v>-20.431999999999999</v>
      </c>
      <c r="H302" s="146">
        <v>735.90499999999997</v>
      </c>
      <c r="I302" s="17"/>
      <c r="J302" s="17">
        <v>63.991999999999997</v>
      </c>
    </row>
    <row r="303" spans="1:10" ht="67.5" x14ac:dyDescent="0.2">
      <c r="A303" s="18" t="s">
        <v>334</v>
      </c>
      <c r="B303" s="16" t="s">
        <v>339</v>
      </c>
      <c r="C303" s="16" t="s">
        <v>23</v>
      </c>
      <c r="D303" s="16" t="s">
        <v>24</v>
      </c>
      <c r="E303" s="17"/>
      <c r="F303" s="93">
        <v>70.3</v>
      </c>
      <c r="G303" s="17"/>
      <c r="H303" s="146">
        <v>47.4</v>
      </c>
      <c r="I303" s="17"/>
      <c r="J303" s="17">
        <v>67.426000000000002</v>
      </c>
    </row>
    <row r="304" spans="1:10" ht="45" x14ac:dyDescent="0.2">
      <c r="A304" s="11" t="s">
        <v>340</v>
      </c>
      <c r="B304" s="12" t="s">
        <v>341</v>
      </c>
      <c r="C304" s="12"/>
      <c r="D304" s="12"/>
      <c r="E304" s="13"/>
      <c r="F304" s="13">
        <v>31.2</v>
      </c>
      <c r="G304" s="13">
        <v>6.9</v>
      </c>
      <c r="H304" s="144">
        <v>33.700000000000003</v>
      </c>
      <c r="I304" s="13"/>
      <c r="J304" s="13">
        <v>108.01300000000001</v>
      </c>
    </row>
    <row r="305" spans="1:16" ht="45" x14ac:dyDescent="0.2">
      <c r="A305" s="15" t="s">
        <v>340</v>
      </c>
      <c r="B305" s="16" t="s">
        <v>342</v>
      </c>
      <c r="C305" s="16" t="s">
        <v>23</v>
      </c>
      <c r="D305" s="16" t="s">
        <v>24</v>
      </c>
      <c r="E305" s="17"/>
      <c r="F305" s="93">
        <v>31.2</v>
      </c>
      <c r="G305" s="17">
        <v>6.9</v>
      </c>
      <c r="H305" s="146">
        <v>33.700000000000003</v>
      </c>
      <c r="I305" s="17"/>
      <c r="J305" s="17">
        <v>108.01300000000001</v>
      </c>
    </row>
    <row r="306" spans="1:16" s="66" customFormat="1" ht="34.5" customHeight="1" x14ac:dyDescent="0.2">
      <c r="A306" s="60" t="s">
        <v>343</v>
      </c>
      <c r="B306" s="61" t="s">
        <v>344</v>
      </c>
      <c r="C306" s="61"/>
      <c r="D306" s="61"/>
      <c r="E306" s="62">
        <v>50</v>
      </c>
      <c r="F306" s="63">
        <v>152.69999999999999</v>
      </c>
      <c r="G306" s="112">
        <v>-10.029999999999999</v>
      </c>
      <c r="H306" s="140">
        <v>233.66</v>
      </c>
      <c r="I306" s="112">
        <v>467.31900000000002</v>
      </c>
      <c r="J306" s="64">
        <v>153.01900000000001</v>
      </c>
      <c r="K306" s="97"/>
      <c r="L306" s="62"/>
      <c r="M306" s="96"/>
      <c r="N306" s="96"/>
      <c r="O306" s="65"/>
    </row>
    <row r="307" spans="1:16" x14ac:dyDescent="0.2">
      <c r="A307" s="11" t="s">
        <v>583</v>
      </c>
      <c r="B307" s="12" t="s">
        <v>584</v>
      </c>
      <c r="C307" s="12"/>
      <c r="D307" s="12"/>
      <c r="E307" s="13"/>
      <c r="F307" s="13"/>
      <c r="G307" s="13">
        <v>9.9700000000000006</v>
      </c>
      <c r="H307" s="144">
        <v>61.780999999999999</v>
      </c>
      <c r="I307" s="13"/>
      <c r="J307" s="13"/>
    </row>
    <row r="308" spans="1:16" ht="22.5" x14ac:dyDescent="0.2">
      <c r="A308" s="11" t="s">
        <v>484</v>
      </c>
      <c r="B308" s="12" t="s">
        <v>485</v>
      </c>
      <c r="C308" s="12"/>
      <c r="D308" s="12"/>
      <c r="E308" s="13"/>
      <c r="F308" s="13"/>
      <c r="G308" s="13">
        <v>9.9700000000000006</v>
      </c>
      <c r="H308" s="144">
        <v>61.780999999999999</v>
      </c>
      <c r="I308" s="13">
        <f>G306+G155</f>
        <v>5.9700000000000006</v>
      </c>
      <c r="J308" s="13"/>
    </row>
    <row r="309" spans="1:16" ht="22.5" x14ac:dyDescent="0.2">
      <c r="A309" s="15" t="s">
        <v>484</v>
      </c>
      <c r="B309" s="16" t="s">
        <v>486</v>
      </c>
      <c r="C309" s="16" t="s">
        <v>23</v>
      </c>
      <c r="D309" s="16" t="s">
        <v>24</v>
      </c>
      <c r="E309" s="17"/>
      <c r="F309" s="17"/>
      <c r="G309" s="17">
        <v>1.5</v>
      </c>
      <c r="H309" s="143">
        <v>-15</v>
      </c>
      <c r="I309" s="17"/>
      <c r="J309" s="17"/>
    </row>
    <row r="310" spans="1:16" ht="22.5" x14ac:dyDescent="0.2">
      <c r="A310" s="15" t="s">
        <v>484</v>
      </c>
      <c r="B310" s="16" t="s">
        <v>487</v>
      </c>
      <c r="C310" s="16" t="s">
        <v>23</v>
      </c>
      <c r="D310" s="16" t="s">
        <v>24</v>
      </c>
      <c r="E310" s="17"/>
      <c r="F310" s="17"/>
      <c r="G310" s="17">
        <v>4.4269999999999996</v>
      </c>
      <c r="H310" s="143">
        <v>10.27</v>
      </c>
      <c r="I310" s="17"/>
      <c r="J310" s="17"/>
    </row>
    <row r="311" spans="1:16" ht="22.5" x14ac:dyDescent="0.2">
      <c r="A311" s="15" t="s">
        <v>484</v>
      </c>
      <c r="B311" s="16" t="s">
        <v>488</v>
      </c>
      <c r="C311" s="16" t="s">
        <v>23</v>
      </c>
      <c r="D311" s="16" t="s">
        <v>24</v>
      </c>
      <c r="E311" s="17"/>
      <c r="F311" s="17"/>
      <c r="G311" s="17">
        <v>4.0430000000000001</v>
      </c>
      <c r="H311" s="143">
        <v>66.510999999999996</v>
      </c>
      <c r="I311" s="17"/>
      <c r="J311" s="17"/>
    </row>
    <row r="312" spans="1:16" x14ac:dyDescent="0.2">
      <c r="A312" s="11" t="s">
        <v>345</v>
      </c>
      <c r="B312" s="12" t="s">
        <v>346</v>
      </c>
      <c r="C312" s="12"/>
      <c r="D312" s="12"/>
      <c r="E312" s="13">
        <v>50</v>
      </c>
      <c r="F312" s="13">
        <v>152.69999999999999</v>
      </c>
      <c r="G312" s="13">
        <v>-20</v>
      </c>
      <c r="H312" s="144">
        <v>171.87899999999999</v>
      </c>
      <c r="I312" s="13">
        <v>343.75799999999998</v>
      </c>
      <c r="J312" s="13">
        <v>112.56</v>
      </c>
    </row>
    <row r="313" spans="1:16" ht="22.5" x14ac:dyDescent="0.2">
      <c r="A313" s="11" t="s">
        <v>347</v>
      </c>
      <c r="B313" s="12" t="s">
        <v>348</v>
      </c>
      <c r="C313" s="12"/>
      <c r="D313" s="12"/>
      <c r="E313" s="13">
        <v>50</v>
      </c>
      <c r="F313" s="13">
        <v>152.69999999999999</v>
      </c>
      <c r="G313" s="13">
        <v>-20</v>
      </c>
      <c r="H313" s="144">
        <v>171.87899999999999</v>
      </c>
      <c r="I313" s="13">
        <v>343.75799999999998</v>
      </c>
      <c r="J313" s="13">
        <v>112.56</v>
      </c>
    </row>
    <row r="314" spans="1:16" ht="22.5" x14ac:dyDescent="0.2">
      <c r="A314" s="15" t="s">
        <v>347</v>
      </c>
      <c r="B314" s="16" t="s">
        <v>349</v>
      </c>
      <c r="C314" s="16" t="s">
        <v>23</v>
      </c>
      <c r="D314" s="16" t="s">
        <v>24</v>
      </c>
      <c r="E314" s="17">
        <v>50</v>
      </c>
      <c r="F314" s="17">
        <v>50</v>
      </c>
      <c r="G314" s="17">
        <v>-20</v>
      </c>
      <c r="H314" s="143">
        <v>69.218000000000004</v>
      </c>
      <c r="I314" s="17">
        <v>138.43600000000001</v>
      </c>
      <c r="J314" s="17">
        <v>138.43600000000001</v>
      </c>
    </row>
    <row r="315" spans="1:16" ht="22.5" x14ac:dyDescent="0.2">
      <c r="A315" s="15" t="s">
        <v>347</v>
      </c>
      <c r="B315" s="16" t="s">
        <v>772</v>
      </c>
      <c r="C315" s="16" t="s">
        <v>23</v>
      </c>
      <c r="D315" s="16" t="s">
        <v>24</v>
      </c>
      <c r="E315" s="17"/>
      <c r="F315" s="17">
        <v>102.7</v>
      </c>
      <c r="G315" s="17"/>
      <c r="H315" s="143">
        <v>102.661</v>
      </c>
      <c r="I315" s="17"/>
      <c r="J315" s="17">
        <v>99.962000000000003</v>
      </c>
    </row>
    <row r="316" spans="1:16" s="66" customFormat="1" ht="24.75" customHeight="1" x14ac:dyDescent="0.2">
      <c r="A316" s="60" t="s">
        <v>350</v>
      </c>
      <c r="B316" s="61" t="s">
        <v>351</v>
      </c>
      <c r="C316" s="61"/>
      <c r="D316" s="61"/>
      <c r="E316" s="62">
        <v>1105868.554</v>
      </c>
      <c r="F316" s="63">
        <v>1440002.665</v>
      </c>
      <c r="G316" s="116">
        <v>97268.702000000005</v>
      </c>
      <c r="H316" s="140">
        <v>951914.45600000001</v>
      </c>
      <c r="I316" s="112">
        <v>86.078000000000003</v>
      </c>
      <c r="J316" s="64">
        <v>66.105000000000004</v>
      </c>
      <c r="K316" s="62">
        <f>H318+H325+H351</f>
        <v>961893.08100000001</v>
      </c>
      <c r="L316" s="62"/>
      <c r="M316" s="96"/>
      <c r="N316" s="65"/>
    </row>
    <row r="317" spans="1:16" s="66" customFormat="1" ht="36" x14ac:dyDescent="0.2">
      <c r="A317" s="60" t="s">
        <v>352</v>
      </c>
      <c r="B317" s="61" t="s">
        <v>353</v>
      </c>
      <c r="C317" s="61"/>
      <c r="D317" s="61"/>
      <c r="E317" s="62">
        <v>1105868.554</v>
      </c>
      <c r="F317" s="63">
        <v>1458447.973</v>
      </c>
      <c r="G317" s="116">
        <v>97186.933000000005</v>
      </c>
      <c r="H317" s="140">
        <v>970252.61499999999</v>
      </c>
      <c r="I317" s="112">
        <v>87.736999999999995</v>
      </c>
      <c r="J317" s="64">
        <v>66.525999999999996</v>
      </c>
      <c r="K317" s="62"/>
      <c r="L317" s="62"/>
      <c r="M317" s="65"/>
    </row>
    <row r="318" spans="1:16" s="66" customFormat="1" ht="24" x14ac:dyDescent="0.2">
      <c r="A318" s="60" t="s">
        <v>354</v>
      </c>
      <c r="B318" s="61" t="s">
        <v>586</v>
      </c>
      <c r="C318" s="61"/>
      <c r="D318" s="61"/>
      <c r="E318" s="62">
        <v>12996.4</v>
      </c>
      <c r="F318" s="63">
        <v>139570.70000000001</v>
      </c>
      <c r="G318" s="116">
        <v>12752</v>
      </c>
      <c r="H318" s="140">
        <v>110813</v>
      </c>
      <c r="I318" s="112">
        <v>852.64400000000001</v>
      </c>
      <c r="J318" s="64">
        <v>79.396000000000001</v>
      </c>
      <c r="K318" s="97"/>
      <c r="L318" s="62"/>
      <c r="M318" s="62"/>
      <c r="N318" s="62"/>
      <c r="O318" s="62"/>
      <c r="P318" s="65"/>
    </row>
    <row r="319" spans="1:16" ht="22.5" x14ac:dyDescent="0.2">
      <c r="A319" s="11" t="s">
        <v>773</v>
      </c>
      <c r="B319" s="12" t="s">
        <v>774</v>
      </c>
      <c r="C319" s="12"/>
      <c r="D319" s="12"/>
      <c r="E319" s="13">
        <v>12996.4</v>
      </c>
      <c r="F319" s="13">
        <v>12996.4</v>
      </c>
      <c r="G319" s="13">
        <v>1083</v>
      </c>
      <c r="H319" s="144">
        <v>9747</v>
      </c>
      <c r="I319" s="13">
        <v>74.998000000000005</v>
      </c>
      <c r="J319" s="13">
        <v>74.998000000000005</v>
      </c>
    </row>
    <row r="320" spans="1:16" ht="22.5" x14ac:dyDescent="0.2">
      <c r="A320" s="11" t="s">
        <v>521</v>
      </c>
      <c r="B320" s="12" t="s">
        <v>519</v>
      </c>
      <c r="C320" s="12"/>
      <c r="D320" s="12"/>
      <c r="E320" s="13">
        <v>12996.4</v>
      </c>
      <c r="F320" s="13">
        <v>12996.4</v>
      </c>
      <c r="G320" s="13">
        <v>1083</v>
      </c>
      <c r="H320" s="144">
        <v>9747</v>
      </c>
      <c r="I320" s="13">
        <v>74.998000000000005</v>
      </c>
      <c r="J320" s="13">
        <v>74.998000000000005</v>
      </c>
    </row>
    <row r="321" spans="1:16" ht="22.5" x14ac:dyDescent="0.2">
      <c r="A321" s="15" t="s">
        <v>521</v>
      </c>
      <c r="B321" s="16" t="s">
        <v>520</v>
      </c>
      <c r="C321" s="16" t="s">
        <v>23</v>
      </c>
      <c r="D321" s="16" t="s">
        <v>24</v>
      </c>
      <c r="E321" s="17">
        <v>12996.4</v>
      </c>
      <c r="F321" s="17">
        <v>12996.4</v>
      </c>
      <c r="G321" s="17">
        <v>1083</v>
      </c>
      <c r="H321" s="143">
        <v>9747</v>
      </c>
      <c r="I321" s="17">
        <v>74.998000000000005</v>
      </c>
      <c r="J321" s="17">
        <v>74.998000000000005</v>
      </c>
    </row>
    <row r="322" spans="1:16" ht="22.5" x14ac:dyDescent="0.2">
      <c r="A322" s="11" t="s">
        <v>355</v>
      </c>
      <c r="B322" s="12" t="s">
        <v>587</v>
      </c>
      <c r="C322" s="12"/>
      <c r="D322" s="12"/>
      <c r="E322" s="13"/>
      <c r="F322" s="13">
        <v>126574.3</v>
      </c>
      <c r="G322" s="13">
        <v>11669</v>
      </c>
      <c r="H322" s="144">
        <v>101066</v>
      </c>
      <c r="I322" s="13"/>
      <c r="J322" s="13">
        <v>79.846999999999994</v>
      </c>
    </row>
    <row r="323" spans="1:16" ht="33.75" x14ac:dyDescent="0.2">
      <c r="A323" s="11" t="s">
        <v>356</v>
      </c>
      <c r="B323" s="12" t="s">
        <v>492</v>
      </c>
      <c r="C323" s="12"/>
      <c r="D323" s="12"/>
      <c r="E323" s="13"/>
      <c r="F323" s="13">
        <v>126574.3</v>
      </c>
      <c r="G323" s="13">
        <v>11669</v>
      </c>
      <c r="H323" s="144">
        <v>101066</v>
      </c>
      <c r="I323" s="13"/>
      <c r="J323" s="13">
        <v>79.846999999999994</v>
      </c>
    </row>
    <row r="324" spans="1:16" ht="33.75" x14ac:dyDescent="0.2">
      <c r="A324" s="15" t="s">
        <v>356</v>
      </c>
      <c r="B324" s="16" t="s">
        <v>493</v>
      </c>
      <c r="C324" s="16" t="s">
        <v>23</v>
      </c>
      <c r="D324" s="16" t="s">
        <v>24</v>
      </c>
      <c r="E324" s="17"/>
      <c r="F324" s="17">
        <v>126574.3</v>
      </c>
      <c r="G324" s="17">
        <v>11669</v>
      </c>
      <c r="H324" s="143">
        <v>101066</v>
      </c>
      <c r="I324" s="17"/>
      <c r="J324" s="17">
        <v>79.846999999999994</v>
      </c>
    </row>
    <row r="325" spans="1:16" s="66" customFormat="1" ht="36" x14ac:dyDescent="0.2">
      <c r="A325" s="60" t="s">
        <v>357</v>
      </c>
      <c r="B325" s="61" t="s">
        <v>588</v>
      </c>
      <c r="C325" s="61"/>
      <c r="D325" s="61"/>
      <c r="E325" s="62">
        <v>137140.1</v>
      </c>
      <c r="F325" s="63">
        <v>226742.842</v>
      </c>
      <c r="G325" s="116">
        <v>6922.9740000000002</v>
      </c>
      <c r="H325" s="140">
        <v>73838.324999999997</v>
      </c>
      <c r="I325" s="112">
        <v>53.841999999999999</v>
      </c>
      <c r="J325" s="64">
        <v>32.564999999999998</v>
      </c>
      <c r="K325" s="97"/>
      <c r="L325" s="62"/>
      <c r="M325" s="62"/>
      <c r="N325" s="62"/>
      <c r="O325" s="62"/>
      <c r="P325" s="65"/>
    </row>
    <row r="326" spans="1:16" ht="33.75" x14ac:dyDescent="0.2">
      <c r="A326" s="11" t="s">
        <v>358</v>
      </c>
      <c r="B326" s="12" t="s">
        <v>589</v>
      </c>
      <c r="C326" s="12"/>
      <c r="D326" s="12"/>
      <c r="E326" s="13">
        <v>75000</v>
      </c>
      <c r="F326" s="13">
        <v>117201</v>
      </c>
      <c r="G326" s="13"/>
      <c r="H326" s="144">
        <f>G325-G346</f>
        <v>1139.9740000000002</v>
      </c>
      <c r="I326" s="13">
        <f>H325-H346-H348</f>
        <v>20254.324999999997</v>
      </c>
      <c r="J326" s="13"/>
    </row>
    <row r="327" spans="1:16" ht="33.75" x14ac:dyDescent="0.2">
      <c r="A327" s="11" t="s">
        <v>590</v>
      </c>
      <c r="B327" s="12" t="s">
        <v>489</v>
      </c>
      <c r="C327" s="12"/>
      <c r="D327" s="12"/>
      <c r="E327" s="13">
        <v>75000</v>
      </c>
      <c r="F327" s="13">
        <v>117201</v>
      </c>
      <c r="G327" s="13"/>
      <c r="H327" s="144"/>
      <c r="I327" s="13"/>
      <c r="J327" s="13"/>
    </row>
    <row r="328" spans="1:16" ht="33.75" x14ac:dyDescent="0.2">
      <c r="A328" s="15" t="s">
        <v>590</v>
      </c>
      <c r="B328" s="16" t="s">
        <v>490</v>
      </c>
      <c r="C328" s="16" t="s">
        <v>23</v>
      </c>
      <c r="D328" s="16" t="s">
        <v>24</v>
      </c>
      <c r="E328" s="17">
        <v>75000</v>
      </c>
      <c r="F328" s="17">
        <v>117201</v>
      </c>
      <c r="G328" s="17"/>
      <c r="H328" s="143"/>
      <c r="I328" s="17"/>
      <c r="J328" s="17"/>
    </row>
    <row r="329" spans="1:16" ht="22.5" x14ac:dyDescent="0.2">
      <c r="A329" s="11" t="s">
        <v>775</v>
      </c>
      <c r="B329" s="12" t="s">
        <v>776</v>
      </c>
      <c r="C329" s="12"/>
      <c r="D329" s="12"/>
      <c r="E329" s="13"/>
      <c r="F329" s="13">
        <v>2822.9760000000001</v>
      </c>
      <c r="G329" s="13">
        <v>527.55499999999995</v>
      </c>
      <c r="H329" s="144">
        <v>2262.0790000000002</v>
      </c>
      <c r="I329" s="13"/>
      <c r="J329" s="13">
        <v>80.131</v>
      </c>
    </row>
    <row r="330" spans="1:16" ht="33.75" x14ac:dyDescent="0.2">
      <c r="A330" s="11" t="s">
        <v>777</v>
      </c>
      <c r="B330" s="12" t="s">
        <v>778</v>
      </c>
      <c r="C330" s="12"/>
      <c r="D330" s="12"/>
      <c r="E330" s="13"/>
      <c r="F330" s="13">
        <v>2822.9760000000001</v>
      </c>
      <c r="G330" s="13">
        <v>527.55499999999995</v>
      </c>
      <c r="H330" s="144">
        <v>2262.0790000000002</v>
      </c>
      <c r="I330" s="13"/>
      <c r="J330" s="13">
        <v>80.131</v>
      </c>
    </row>
    <row r="331" spans="1:16" s="110" customFormat="1" ht="33.75" x14ac:dyDescent="0.2">
      <c r="A331" s="123" t="s">
        <v>777</v>
      </c>
      <c r="B331" s="20" t="s">
        <v>779</v>
      </c>
      <c r="C331" s="20" t="s">
        <v>23</v>
      </c>
      <c r="D331" s="20" t="s">
        <v>24</v>
      </c>
      <c r="E331" s="93"/>
      <c r="F331" s="93">
        <v>2822.9760000000001</v>
      </c>
      <c r="G331" s="93">
        <v>527.55499999999995</v>
      </c>
      <c r="H331" s="146">
        <v>2262.0790000000002</v>
      </c>
      <c r="I331" s="93"/>
      <c r="J331" s="93">
        <v>80.131</v>
      </c>
    </row>
    <row r="332" spans="1:16" ht="22.5" x14ac:dyDescent="0.2">
      <c r="A332" s="11" t="s">
        <v>591</v>
      </c>
      <c r="B332" s="12" t="s">
        <v>592</v>
      </c>
      <c r="C332" s="12"/>
      <c r="D332" s="12"/>
      <c r="E332" s="13"/>
      <c r="F332" s="13">
        <v>82.3</v>
      </c>
      <c r="G332" s="13"/>
      <c r="H332" s="144">
        <v>82.3</v>
      </c>
      <c r="I332" s="13"/>
      <c r="J332" s="13">
        <v>100</v>
      </c>
    </row>
    <row r="333" spans="1:16" ht="22.5" x14ac:dyDescent="0.2">
      <c r="A333" s="11" t="s">
        <v>516</v>
      </c>
      <c r="B333" s="12" t="s">
        <v>517</v>
      </c>
      <c r="C333" s="12"/>
      <c r="D333" s="12"/>
      <c r="E333" s="13"/>
      <c r="F333" s="13">
        <v>82.3</v>
      </c>
      <c r="G333" s="13"/>
      <c r="H333" s="144">
        <v>82.3</v>
      </c>
      <c r="I333" s="13"/>
      <c r="J333" s="13">
        <v>100</v>
      </c>
    </row>
    <row r="334" spans="1:16" ht="22.5" x14ac:dyDescent="0.2">
      <c r="A334" s="15" t="s">
        <v>516</v>
      </c>
      <c r="B334" s="16" t="s">
        <v>518</v>
      </c>
      <c r="C334" s="16" t="s">
        <v>23</v>
      </c>
      <c r="D334" s="16" t="s">
        <v>24</v>
      </c>
      <c r="E334" s="17"/>
      <c r="F334" s="17">
        <v>82.3</v>
      </c>
      <c r="G334" s="17"/>
      <c r="H334" s="143">
        <v>82.3</v>
      </c>
      <c r="I334" s="17"/>
      <c r="J334" s="17">
        <v>100</v>
      </c>
    </row>
    <row r="335" spans="1:16" ht="67.5" x14ac:dyDescent="0.2">
      <c r="A335" s="11" t="s">
        <v>593</v>
      </c>
      <c r="B335" s="12" t="s">
        <v>594</v>
      </c>
      <c r="C335" s="12"/>
      <c r="D335" s="12"/>
      <c r="E335" s="13">
        <v>751.9</v>
      </c>
      <c r="F335" s="13"/>
      <c r="G335" s="13"/>
      <c r="H335" s="144"/>
      <c r="I335" s="13"/>
      <c r="J335" s="13"/>
    </row>
    <row r="336" spans="1:16" ht="67.5" x14ac:dyDescent="0.2">
      <c r="A336" s="11" t="s">
        <v>494</v>
      </c>
      <c r="B336" s="12" t="s">
        <v>495</v>
      </c>
      <c r="C336" s="12"/>
      <c r="D336" s="12"/>
      <c r="E336" s="13">
        <v>751.9</v>
      </c>
      <c r="F336" s="13"/>
      <c r="G336" s="13"/>
      <c r="H336" s="144"/>
      <c r="I336" s="13"/>
      <c r="J336" s="13"/>
    </row>
    <row r="337" spans="1:16" ht="67.5" x14ac:dyDescent="0.2">
      <c r="A337" s="15" t="s">
        <v>494</v>
      </c>
      <c r="B337" s="16" t="s">
        <v>496</v>
      </c>
      <c r="C337" s="16" t="s">
        <v>23</v>
      </c>
      <c r="D337" s="16" t="s">
        <v>24</v>
      </c>
      <c r="E337" s="17">
        <v>751.9</v>
      </c>
      <c r="F337" s="17"/>
      <c r="G337" s="17"/>
      <c r="H337" s="143"/>
      <c r="I337" s="17"/>
      <c r="J337" s="17"/>
    </row>
    <row r="338" spans="1:16" x14ac:dyDescent="0.2">
      <c r="A338" s="11" t="s">
        <v>359</v>
      </c>
      <c r="B338" s="12" t="s">
        <v>595</v>
      </c>
      <c r="C338" s="12"/>
      <c r="D338" s="12"/>
      <c r="E338" s="13">
        <v>61388.2</v>
      </c>
      <c r="F338" s="13">
        <v>106636.56600000001</v>
      </c>
      <c r="G338" s="13">
        <v>6395.4189999999999</v>
      </c>
      <c r="H338" s="144">
        <v>71493.945000000007</v>
      </c>
      <c r="I338" s="13">
        <v>116.462</v>
      </c>
      <c r="J338" s="13">
        <v>67.045000000000002</v>
      </c>
    </row>
    <row r="339" spans="1:16" ht="22.5" x14ac:dyDescent="0.2">
      <c r="A339" s="11" t="s">
        <v>360</v>
      </c>
      <c r="B339" s="12" t="s">
        <v>497</v>
      </c>
      <c r="C339" s="12"/>
      <c r="D339" s="12"/>
      <c r="E339" s="13">
        <v>61388.2</v>
      </c>
      <c r="F339" s="13">
        <v>106636.56600000001</v>
      </c>
      <c r="G339" s="13">
        <v>6395.4189999999999</v>
      </c>
      <c r="H339" s="144">
        <v>71493.945000000007</v>
      </c>
      <c r="I339" s="13">
        <v>116.462</v>
      </c>
      <c r="J339" s="13">
        <v>67.045000000000002</v>
      </c>
    </row>
    <row r="340" spans="1:16" x14ac:dyDescent="0.2">
      <c r="A340" s="15" t="s">
        <v>360</v>
      </c>
      <c r="B340" s="16" t="s">
        <v>498</v>
      </c>
      <c r="C340" s="16" t="s">
        <v>596</v>
      </c>
      <c r="D340" s="16" t="s">
        <v>24</v>
      </c>
      <c r="E340" s="17"/>
      <c r="F340" s="17">
        <v>47.497999999999998</v>
      </c>
      <c r="G340" s="17"/>
      <c r="H340" s="143">
        <v>47.497999999999998</v>
      </c>
      <c r="I340" s="17"/>
      <c r="J340" s="17">
        <v>100</v>
      </c>
    </row>
    <row r="341" spans="1:16" x14ac:dyDescent="0.2">
      <c r="A341" s="15" t="s">
        <v>360</v>
      </c>
      <c r="B341" s="16" t="s">
        <v>498</v>
      </c>
      <c r="C341" s="16" t="s">
        <v>597</v>
      </c>
      <c r="D341" s="16" t="s">
        <v>24</v>
      </c>
      <c r="E341" s="17"/>
      <c r="F341" s="17">
        <v>500</v>
      </c>
      <c r="G341" s="17"/>
      <c r="H341" s="143"/>
      <c r="I341" s="17"/>
      <c r="J341" s="17"/>
    </row>
    <row r="342" spans="1:16" x14ac:dyDescent="0.2">
      <c r="A342" s="15" t="s">
        <v>360</v>
      </c>
      <c r="B342" s="16" t="s">
        <v>498</v>
      </c>
      <c r="C342" s="16" t="s">
        <v>780</v>
      </c>
      <c r="D342" s="16" t="s">
        <v>24</v>
      </c>
      <c r="E342" s="17"/>
      <c r="F342" s="17">
        <v>751.9</v>
      </c>
      <c r="G342" s="17"/>
      <c r="H342" s="143"/>
      <c r="I342" s="17"/>
      <c r="J342" s="17"/>
    </row>
    <row r="343" spans="1:16" x14ac:dyDescent="0.2">
      <c r="A343" s="15" t="s">
        <v>360</v>
      </c>
      <c r="B343" s="16" t="s">
        <v>499</v>
      </c>
      <c r="C343" s="16" t="s">
        <v>361</v>
      </c>
      <c r="D343" s="16" t="s">
        <v>24</v>
      </c>
      <c r="E343" s="17">
        <v>336.5</v>
      </c>
      <c r="F343" s="17">
        <v>313.7</v>
      </c>
      <c r="G343" s="17">
        <v>9.6129999999999995</v>
      </c>
      <c r="H343" s="143">
        <v>72.046000000000006</v>
      </c>
      <c r="I343" s="17">
        <v>21.41</v>
      </c>
      <c r="J343" s="17">
        <v>22.966999999999999</v>
      </c>
    </row>
    <row r="344" spans="1:16" x14ac:dyDescent="0.2">
      <c r="A344" s="15" t="s">
        <v>360</v>
      </c>
      <c r="B344" s="16" t="s">
        <v>499</v>
      </c>
      <c r="C344" s="16" t="s">
        <v>781</v>
      </c>
      <c r="D344" s="16" t="s">
        <v>24</v>
      </c>
      <c r="E344" s="17"/>
      <c r="F344" s="17">
        <v>1770.7</v>
      </c>
      <c r="G344" s="17"/>
      <c r="H344" s="143"/>
      <c r="I344" s="17"/>
      <c r="J344" s="17"/>
    </row>
    <row r="345" spans="1:16" x14ac:dyDescent="0.2">
      <c r="A345" s="15" t="s">
        <v>360</v>
      </c>
      <c r="B345" s="16" t="s">
        <v>500</v>
      </c>
      <c r="C345" s="16" t="s">
        <v>363</v>
      </c>
      <c r="D345" s="16" t="s">
        <v>24</v>
      </c>
      <c r="E345" s="17">
        <v>4914.1000000000004</v>
      </c>
      <c r="F345" s="17">
        <v>5084.1000000000004</v>
      </c>
      <c r="G345" s="17"/>
      <c r="H345" s="143">
        <v>5084.1000000000004</v>
      </c>
      <c r="I345" s="17">
        <v>103.459</v>
      </c>
      <c r="J345" s="17">
        <v>100</v>
      </c>
    </row>
    <row r="346" spans="1:16" x14ac:dyDescent="0.2">
      <c r="A346" s="15" t="s">
        <v>360</v>
      </c>
      <c r="B346" s="16" t="s">
        <v>500</v>
      </c>
      <c r="C346" s="16" t="s">
        <v>585</v>
      </c>
      <c r="D346" s="16" t="s">
        <v>24</v>
      </c>
      <c r="E346" s="17">
        <v>56137.599999999999</v>
      </c>
      <c r="F346" s="17">
        <v>65429.1</v>
      </c>
      <c r="G346" s="17">
        <v>5783</v>
      </c>
      <c r="H346" s="143">
        <v>48084</v>
      </c>
      <c r="I346" s="17">
        <v>85.653999999999996</v>
      </c>
      <c r="J346" s="17">
        <v>73.489999999999995</v>
      </c>
    </row>
    <row r="347" spans="1:16" x14ac:dyDescent="0.2">
      <c r="A347" s="15" t="s">
        <v>360</v>
      </c>
      <c r="B347" s="16" t="s">
        <v>500</v>
      </c>
      <c r="C347" s="16" t="s">
        <v>598</v>
      </c>
      <c r="D347" s="16" t="s">
        <v>24</v>
      </c>
      <c r="E347" s="17"/>
      <c r="F347" s="17">
        <v>15000</v>
      </c>
      <c r="G347" s="17">
        <v>602.80600000000004</v>
      </c>
      <c r="H347" s="143">
        <v>12706.300999999999</v>
      </c>
      <c r="I347" s="17"/>
      <c r="J347" s="17">
        <v>84.709000000000003</v>
      </c>
    </row>
    <row r="348" spans="1:16" x14ac:dyDescent="0.2">
      <c r="A348" s="15" t="s">
        <v>360</v>
      </c>
      <c r="B348" s="16" t="s">
        <v>500</v>
      </c>
      <c r="C348" s="16" t="s">
        <v>782</v>
      </c>
      <c r="D348" s="16" t="s">
        <v>24</v>
      </c>
      <c r="E348" s="17"/>
      <c r="F348" s="17">
        <v>5500</v>
      </c>
      <c r="G348" s="17"/>
      <c r="H348" s="143">
        <v>5500</v>
      </c>
      <c r="I348" s="17"/>
      <c r="J348" s="17">
        <v>100</v>
      </c>
    </row>
    <row r="349" spans="1:16" x14ac:dyDescent="0.2">
      <c r="A349" s="15" t="s">
        <v>360</v>
      </c>
      <c r="B349" s="16" t="s">
        <v>783</v>
      </c>
      <c r="C349" s="16" t="s">
        <v>784</v>
      </c>
      <c r="D349" s="16" t="s">
        <v>24</v>
      </c>
      <c r="E349" s="17"/>
      <c r="F349" s="17">
        <v>11720</v>
      </c>
      <c r="G349" s="17"/>
      <c r="H349" s="143"/>
      <c r="I349" s="17"/>
      <c r="J349" s="17"/>
    </row>
    <row r="350" spans="1:16" x14ac:dyDescent="0.2">
      <c r="A350" s="15" t="s">
        <v>360</v>
      </c>
      <c r="B350" s="16" t="s">
        <v>501</v>
      </c>
      <c r="C350" s="16" t="s">
        <v>362</v>
      </c>
      <c r="D350" s="16" t="s">
        <v>24</v>
      </c>
      <c r="E350" s="17"/>
      <c r="F350" s="17">
        <v>519.56700000000001</v>
      </c>
      <c r="G350" s="17"/>
      <c r="H350" s="143"/>
      <c r="I350" s="17"/>
      <c r="J350" s="17"/>
    </row>
    <row r="351" spans="1:16" s="66" customFormat="1" ht="29.25" customHeight="1" x14ac:dyDescent="0.2">
      <c r="A351" s="60" t="s">
        <v>364</v>
      </c>
      <c r="B351" s="61" t="s">
        <v>599</v>
      </c>
      <c r="C351" s="61"/>
      <c r="D351" s="61"/>
      <c r="E351" s="62">
        <v>944847.1</v>
      </c>
      <c r="F351" s="63">
        <v>1080973.3999999999</v>
      </c>
      <c r="G351" s="116">
        <v>76618.880999999994</v>
      </c>
      <c r="H351" s="140">
        <v>777241.75600000005</v>
      </c>
      <c r="I351" s="112">
        <v>82.260999999999996</v>
      </c>
      <c r="J351" s="64">
        <v>71.902000000000001</v>
      </c>
      <c r="K351" s="97"/>
      <c r="L351" s="62"/>
      <c r="M351" s="62"/>
      <c r="N351" s="62"/>
      <c r="O351" s="62"/>
      <c r="P351" s="65"/>
    </row>
    <row r="352" spans="1:16" ht="33.75" x14ac:dyDescent="0.2">
      <c r="A352" s="11" t="s">
        <v>365</v>
      </c>
      <c r="B352" s="12" t="s">
        <v>600</v>
      </c>
      <c r="C352" s="12"/>
      <c r="D352" s="12"/>
      <c r="E352" s="13">
        <v>75855.899999999994</v>
      </c>
      <c r="F352" s="13">
        <v>76031.899999999994</v>
      </c>
      <c r="G352" s="13">
        <v>5650.5050000000001</v>
      </c>
      <c r="H352" s="144">
        <v>51530.245000000003</v>
      </c>
      <c r="I352" s="13">
        <v>67.932000000000002</v>
      </c>
      <c r="J352" s="13">
        <v>67.775000000000006</v>
      </c>
    </row>
    <row r="353" spans="1:10" ht="33.75" x14ac:dyDescent="0.2">
      <c r="A353" s="11" t="s">
        <v>366</v>
      </c>
      <c r="B353" s="12" t="s">
        <v>502</v>
      </c>
      <c r="C353" s="12"/>
      <c r="D353" s="12"/>
      <c r="E353" s="13">
        <v>75855.899999999994</v>
      </c>
      <c r="F353" s="13">
        <v>76031.899999999994</v>
      </c>
      <c r="G353" s="13">
        <v>5650.5050000000001</v>
      </c>
      <c r="H353" s="144">
        <v>51530.245000000003</v>
      </c>
      <c r="I353" s="13">
        <v>67.932000000000002</v>
      </c>
      <c r="J353" s="13">
        <v>67.775000000000006</v>
      </c>
    </row>
    <row r="354" spans="1:10" ht="33.75" x14ac:dyDescent="0.2">
      <c r="A354" s="15" t="s">
        <v>366</v>
      </c>
      <c r="B354" s="16" t="s">
        <v>503</v>
      </c>
      <c r="C354" s="16" t="s">
        <v>23</v>
      </c>
      <c r="D354" s="16" t="s">
        <v>24</v>
      </c>
      <c r="E354" s="17">
        <v>75855.899999999994</v>
      </c>
      <c r="F354" s="17">
        <v>76031.899999999994</v>
      </c>
      <c r="G354" s="17">
        <v>5650.5050000000001</v>
      </c>
      <c r="H354" s="143">
        <v>51530.245000000003</v>
      </c>
      <c r="I354" s="17">
        <v>67.932000000000002</v>
      </c>
      <c r="J354" s="17">
        <v>67.775000000000006</v>
      </c>
    </row>
    <row r="355" spans="1:10" ht="33.75" x14ac:dyDescent="0.2">
      <c r="A355" s="11" t="s">
        <v>367</v>
      </c>
      <c r="B355" s="12" t="s">
        <v>601</v>
      </c>
      <c r="C355" s="12"/>
      <c r="D355" s="12"/>
      <c r="E355" s="13">
        <v>37598.9</v>
      </c>
      <c r="F355" s="13">
        <v>38105.599999999999</v>
      </c>
      <c r="G355" s="13">
        <v>3798.3760000000002</v>
      </c>
      <c r="H355" s="144">
        <v>16202.411</v>
      </c>
      <c r="I355" s="13">
        <v>43.093000000000004</v>
      </c>
      <c r="J355" s="13">
        <v>42.52</v>
      </c>
    </row>
    <row r="356" spans="1:10" ht="33.75" x14ac:dyDescent="0.2">
      <c r="A356" s="11" t="s">
        <v>368</v>
      </c>
      <c r="B356" s="12" t="s">
        <v>504</v>
      </c>
      <c r="C356" s="12"/>
      <c r="D356" s="12"/>
      <c r="E356" s="13">
        <v>37598.9</v>
      </c>
      <c r="F356" s="13">
        <v>38105.599999999999</v>
      </c>
      <c r="G356" s="13">
        <v>3798.3760000000002</v>
      </c>
      <c r="H356" s="144">
        <v>16202.411</v>
      </c>
      <c r="I356" s="13">
        <v>43.093000000000004</v>
      </c>
      <c r="J356" s="13">
        <v>42.52</v>
      </c>
    </row>
    <row r="357" spans="1:10" ht="33.75" x14ac:dyDescent="0.2">
      <c r="A357" s="15" t="s">
        <v>368</v>
      </c>
      <c r="B357" s="16" t="s">
        <v>505</v>
      </c>
      <c r="C357" s="16" t="s">
        <v>369</v>
      </c>
      <c r="D357" s="16" t="s">
        <v>24</v>
      </c>
      <c r="E357" s="17">
        <v>30343</v>
      </c>
      <c r="F357" s="17">
        <v>30343</v>
      </c>
      <c r="G357" s="17">
        <v>3091.6</v>
      </c>
      <c r="H357" s="143">
        <v>10630.5</v>
      </c>
      <c r="I357" s="17">
        <v>35.033999999999999</v>
      </c>
      <c r="J357" s="17">
        <v>35.033999999999999</v>
      </c>
    </row>
    <row r="358" spans="1:10" ht="33" customHeight="1" x14ac:dyDescent="0.2">
      <c r="A358" s="15" t="s">
        <v>368</v>
      </c>
      <c r="B358" s="16" t="s">
        <v>506</v>
      </c>
      <c r="C358" s="16" t="s">
        <v>370</v>
      </c>
      <c r="D358" s="16" t="s">
        <v>24</v>
      </c>
      <c r="E358" s="17">
        <v>3250.6</v>
      </c>
      <c r="F358" s="17">
        <v>3610.4</v>
      </c>
      <c r="G358" s="17">
        <v>297.81</v>
      </c>
      <c r="H358" s="143">
        <v>2527.2800000000002</v>
      </c>
      <c r="I358" s="17">
        <v>77.748000000000005</v>
      </c>
      <c r="J358" s="17">
        <v>70</v>
      </c>
    </row>
    <row r="359" spans="1:10" ht="33" customHeight="1" x14ac:dyDescent="0.2">
      <c r="A359" s="15" t="s">
        <v>368</v>
      </c>
      <c r="B359" s="16" t="s">
        <v>506</v>
      </c>
      <c r="C359" s="16" t="s">
        <v>371</v>
      </c>
      <c r="D359" s="16" t="s">
        <v>24</v>
      </c>
      <c r="E359" s="17">
        <v>605.20000000000005</v>
      </c>
      <c r="F359" s="17">
        <v>629.6</v>
      </c>
      <c r="G359" s="17">
        <v>52.466000000000001</v>
      </c>
      <c r="H359" s="143">
        <v>472.2</v>
      </c>
      <c r="I359" s="17">
        <v>78.024000000000001</v>
      </c>
      <c r="J359" s="17">
        <v>75</v>
      </c>
    </row>
    <row r="360" spans="1:10" ht="33" customHeight="1" x14ac:dyDescent="0.2">
      <c r="A360" s="15" t="s">
        <v>368</v>
      </c>
      <c r="B360" s="16" t="s">
        <v>506</v>
      </c>
      <c r="C360" s="16" t="s">
        <v>372</v>
      </c>
      <c r="D360" s="16" t="s">
        <v>24</v>
      </c>
      <c r="E360" s="17">
        <v>1829</v>
      </c>
      <c r="F360" s="17">
        <v>1902.7</v>
      </c>
      <c r="G360" s="17">
        <v>267</v>
      </c>
      <c r="H360" s="143">
        <v>1561.9</v>
      </c>
      <c r="I360" s="17">
        <v>85.396000000000001</v>
      </c>
      <c r="J360" s="17">
        <v>82.088999999999999</v>
      </c>
    </row>
    <row r="361" spans="1:10" ht="33" customHeight="1" x14ac:dyDescent="0.2">
      <c r="A361" s="15" t="s">
        <v>368</v>
      </c>
      <c r="B361" s="16" t="s">
        <v>506</v>
      </c>
      <c r="C361" s="16" t="s">
        <v>373</v>
      </c>
      <c r="D361" s="16" t="s">
        <v>24</v>
      </c>
      <c r="E361" s="17">
        <v>1210.4000000000001</v>
      </c>
      <c r="F361" s="17">
        <v>1259.2</v>
      </c>
      <c r="G361" s="17">
        <v>89.5</v>
      </c>
      <c r="H361" s="143">
        <v>860.53099999999995</v>
      </c>
      <c r="I361" s="17">
        <v>71.094999999999999</v>
      </c>
      <c r="J361" s="17">
        <v>68.34</v>
      </c>
    </row>
    <row r="362" spans="1:10" ht="33" customHeight="1" x14ac:dyDescent="0.2">
      <c r="A362" s="15" t="s">
        <v>368</v>
      </c>
      <c r="B362" s="16" t="s">
        <v>506</v>
      </c>
      <c r="C362" s="16" t="s">
        <v>374</v>
      </c>
      <c r="D362" s="16" t="s">
        <v>24</v>
      </c>
      <c r="E362" s="17">
        <v>360</v>
      </c>
      <c r="F362" s="17">
        <v>360</v>
      </c>
      <c r="G362" s="17"/>
      <c r="H362" s="143">
        <v>150</v>
      </c>
      <c r="I362" s="17">
        <v>41.667000000000002</v>
      </c>
      <c r="J362" s="17">
        <v>41.667000000000002</v>
      </c>
    </row>
    <row r="363" spans="1:10" ht="32.25" customHeight="1" x14ac:dyDescent="0.2">
      <c r="A363" s="15" t="s">
        <v>368</v>
      </c>
      <c r="B363" s="16" t="s">
        <v>506</v>
      </c>
      <c r="C363" s="16" t="s">
        <v>375</v>
      </c>
      <c r="D363" s="16" t="s">
        <v>24</v>
      </c>
      <c r="E363" s="17">
        <v>0.7</v>
      </c>
      <c r="F363" s="17">
        <v>0.7</v>
      </c>
      <c r="G363" s="17"/>
      <c r="H363" s="143"/>
      <c r="I363" s="17"/>
      <c r="J363" s="17"/>
    </row>
    <row r="364" spans="1:10" ht="57" customHeight="1" x14ac:dyDescent="0.2">
      <c r="A364" s="11" t="s">
        <v>785</v>
      </c>
      <c r="B364" s="12" t="s">
        <v>786</v>
      </c>
      <c r="C364" s="12"/>
      <c r="D364" s="12"/>
      <c r="E364" s="13">
        <v>234.3</v>
      </c>
      <c r="F364" s="13">
        <v>234.3</v>
      </c>
      <c r="G364" s="13"/>
      <c r="H364" s="144">
        <v>234.3</v>
      </c>
      <c r="I364" s="13">
        <v>100</v>
      </c>
      <c r="J364" s="13">
        <v>100</v>
      </c>
    </row>
    <row r="365" spans="1:10" ht="63.75" customHeight="1" x14ac:dyDescent="0.2">
      <c r="A365" s="11" t="s">
        <v>524</v>
      </c>
      <c r="B365" s="12" t="s">
        <v>522</v>
      </c>
      <c r="C365" s="12"/>
      <c r="D365" s="12"/>
      <c r="E365" s="13">
        <v>234.3</v>
      </c>
      <c r="F365" s="13">
        <v>234.3</v>
      </c>
      <c r="G365" s="13"/>
      <c r="H365" s="144">
        <v>234.3</v>
      </c>
      <c r="I365" s="13">
        <v>100</v>
      </c>
      <c r="J365" s="13">
        <v>100</v>
      </c>
    </row>
    <row r="366" spans="1:10" ht="58.5" customHeight="1" x14ac:dyDescent="0.2">
      <c r="A366" s="15" t="s">
        <v>524</v>
      </c>
      <c r="B366" s="16" t="s">
        <v>523</v>
      </c>
      <c r="C366" s="16" t="s">
        <v>23</v>
      </c>
      <c r="D366" s="16" t="s">
        <v>24</v>
      </c>
      <c r="E366" s="17">
        <v>234.3</v>
      </c>
      <c r="F366" s="17">
        <v>234.3</v>
      </c>
      <c r="G366" s="17"/>
      <c r="H366" s="143">
        <v>234.3</v>
      </c>
      <c r="I366" s="17">
        <v>100</v>
      </c>
      <c r="J366" s="17">
        <v>100</v>
      </c>
    </row>
    <row r="367" spans="1:10" ht="12.75" customHeight="1" x14ac:dyDescent="0.2">
      <c r="A367" s="11" t="s">
        <v>377</v>
      </c>
      <c r="B367" s="12" t="s">
        <v>602</v>
      </c>
      <c r="C367" s="12"/>
      <c r="D367" s="12"/>
      <c r="E367" s="13">
        <v>831158</v>
      </c>
      <c r="F367" s="13">
        <v>966601.6</v>
      </c>
      <c r="G367" s="13">
        <v>67170</v>
      </c>
      <c r="H367" s="144">
        <v>709274.8</v>
      </c>
      <c r="I367" s="13">
        <v>85.335999999999999</v>
      </c>
      <c r="J367" s="13">
        <v>73.378</v>
      </c>
    </row>
    <row r="368" spans="1:10" ht="32.25" customHeight="1" x14ac:dyDescent="0.2">
      <c r="A368" s="11" t="s">
        <v>378</v>
      </c>
      <c r="B368" s="12" t="s">
        <v>507</v>
      </c>
      <c r="C368" s="12"/>
      <c r="D368" s="12"/>
      <c r="E368" s="13">
        <v>831158</v>
      </c>
      <c r="F368" s="13">
        <v>966601.6</v>
      </c>
      <c r="G368" s="13">
        <v>67170</v>
      </c>
      <c r="H368" s="144">
        <v>709274.8</v>
      </c>
      <c r="I368" s="13">
        <v>85.335999999999999</v>
      </c>
      <c r="J368" s="13">
        <v>73.378</v>
      </c>
    </row>
    <row r="369" spans="1:16" x14ac:dyDescent="0.2">
      <c r="A369" s="15" t="s">
        <v>378</v>
      </c>
      <c r="B369" s="16" t="s">
        <v>508</v>
      </c>
      <c r="C369" s="16" t="s">
        <v>376</v>
      </c>
      <c r="D369" s="16" t="s">
        <v>24</v>
      </c>
      <c r="E369" s="17">
        <v>625898</v>
      </c>
      <c r="F369" s="17">
        <v>694585.5</v>
      </c>
      <c r="G369" s="17">
        <v>48000</v>
      </c>
      <c r="H369" s="143">
        <v>509391.9</v>
      </c>
      <c r="I369" s="17">
        <v>81.385999999999996</v>
      </c>
      <c r="J369" s="17">
        <v>73.337999999999994</v>
      </c>
    </row>
    <row r="370" spans="1:16" ht="13.5" thickBot="1" x14ac:dyDescent="0.25">
      <c r="A370" s="15" t="s">
        <v>378</v>
      </c>
      <c r="B370" s="16" t="s">
        <v>508</v>
      </c>
      <c r="C370" s="16" t="s">
        <v>379</v>
      </c>
      <c r="D370" s="16" t="s">
        <v>24</v>
      </c>
      <c r="E370" s="17">
        <v>205260</v>
      </c>
      <c r="F370" s="17">
        <v>272016.09999999998</v>
      </c>
      <c r="G370" s="17">
        <v>19170</v>
      </c>
      <c r="H370" s="143">
        <v>199882.9</v>
      </c>
      <c r="I370" s="17">
        <v>97.38</v>
      </c>
      <c r="J370" s="17">
        <v>73.481999999999999</v>
      </c>
    </row>
    <row r="371" spans="1:16" s="66" customFormat="1" ht="30" customHeight="1" x14ac:dyDescent="0.2">
      <c r="A371" s="60" t="s">
        <v>380</v>
      </c>
      <c r="B371" s="61" t="s">
        <v>603</v>
      </c>
      <c r="C371" s="61"/>
      <c r="D371" s="61"/>
      <c r="E371" s="62">
        <v>10884.954</v>
      </c>
      <c r="F371" s="63">
        <v>11161.031000000001</v>
      </c>
      <c r="G371" s="112">
        <v>893.07799999999997</v>
      </c>
      <c r="H371" s="147">
        <v>8359.5349999999999</v>
      </c>
      <c r="I371" s="124">
        <v>76.799000000000007</v>
      </c>
      <c r="J371" s="125">
        <v>74.899000000000001</v>
      </c>
      <c r="K371" s="126"/>
      <c r="L371" s="127"/>
      <c r="M371" s="62"/>
      <c r="N371" s="62"/>
      <c r="O371" s="62"/>
      <c r="P371" s="65"/>
    </row>
    <row r="372" spans="1:16" ht="56.25" x14ac:dyDescent="0.2">
      <c r="A372" s="11" t="s">
        <v>381</v>
      </c>
      <c r="B372" s="12" t="s">
        <v>604</v>
      </c>
      <c r="C372" s="12"/>
      <c r="D372" s="12"/>
      <c r="E372" s="13">
        <v>10884.954</v>
      </c>
      <c r="F372" s="13">
        <v>11161.031000000001</v>
      </c>
      <c r="G372" s="13">
        <v>893.07799999999997</v>
      </c>
      <c r="H372" s="144">
        <v>8359.5349999999999</v>
      </c>
      <c r="I372" s="13">
        <v>76.799000000000007</v>
      </c>
      <c r="J372" s="13">
        <v>74.899000000000001</v>
      </c>
    </row>
    <row r="373" spans="1:16" ht="56.25" x14ac:dyDescent="0.2">
      <c r="A373" s="11" t="s">
        <v>382</v>
      </c>
      <c r="B373" s="12" t="s">
        <v>509</v>
      </c>
      <c r="C373" s="12"/>
      <c r="D373" s="12"/>
      <c r="E373" s="13">
        <v>10884.954</v>
      </c>
      <c r="F373" s="13">
        <v>11161.031000000001</v>
      </c>
      <c r="G373" s="13">
        <v>893.07799999999997</v>
      </c>
      <c r="H373" s="144">
        <v>8359.5349999999999</v>
      </c>
      <c r="I373" s="13">
        <v>76.799000000000007</v>
      </c>
      <c r="J373" s="13">
        <v>74.899000000000001</v>
      </c>
    </row>
    <row r="374" spans="1:16" ht="56.25" x14ac:dyDescent="0.2">
      <c r="A374" s="15" t="s">
        <v>382</v>
      </c>
      <c r="B374" s="16" t="s">
        <v>510</v>
      </c>
      <c r="C374" s="16" t="s">
        <v>787</v>
      </c>
      <c r="D374" s="16" t="s">
        <v>24</v>
      </c>
      <c r="E374" s="17">
        <v>908.01199999999994</v>
      </c>
      <c r="F374" s="17">
        <v>908.01199999999994</v>
      </c>
      <c r="G374" s="17">
        <v>74.290000000000006</v>
      </c>
      <c r="H374" s="143">
        <v>703.43</v>
      </c>
      <c r="I374" s="17">
        <v>77.468999999999994</v>
      </c>
      <c r="J374" s="17">
        <v>77.468999999999994</v>
      </c>
    </row>
    <row r="375" spans="1:16" ht="56.25" x14ac:dyDescent="0.2">
      <c r="A375" s="15" t="s">
        <v>382</v>
      </c>
      <c r="B375" s="16" t="s">
        <v>510</v>
      </c>
      <c r="C375" s="16" t="s">
        <v>788</v>
      </c>
      <c r="D375" s="16" t="s">
        <v>24</v>
      </c>
      <c r="E375" s="17">
        <v>207.52600000000001</v>
      </c>
      <c r="F375" s="17">
        <v>3.2490000000000001</v>
      </c>
      <c r="G375" s="17"/>
      <c r="H375" s="143">
        <v>3.2490000000000001</v>
      </c>
      <c r="I375" s="17">
        <v>1.5649999999999999</v>
      </c>
      <c r="J375" s="17">
        <v>100</v>
      </c>
    </row>
    <row r="376" spans="1:16" ht="56.25" x14ac:dyDescent="0.2">
      <c r="A376" s="15" t="s">
        <v>382</v>
      </c>
      <c r="B376" s="16" t="s">
        <v>510</v>
      </c>
      <c r="C376" s="16" t="s">
        <v>384</v>
      </c>
      <c r="D376" s="16" t="s">
        <v>24</v>
      </c>
      <c r="E376" s="17">
        <v>616.34799999999996</v>
      </c>
      <c r="F376" s="17">
        <v>550.30999999999995</v>
      </c>
      <c r="G376" s="17">
        <v>46</v>
      </c>
      <c r="H376" s="143">
        <v>426.745</v>
      </c>
      <c r="I376" s="17">
        <v>69.238</v>
      </c>
      <c r="J376" s="17">
        <v>77.546000000000006</v>
      </c>
    </row>
    <row r="377" spans="1:16" ht="56.25" x14ac:dyDescent="0.2">
      <c r="A377" s="15" t="s">
        <v>382</v>
      </c>
      <c r="B377" s="16" t="s">
        <v>511</v>
      </c>
      <c r="C377" s="16" t="s">
        <v>787</v>
      </c>
      <c r="D377" s="16" t="s">
        <v>24</v>
      </c>
      <c r="E377" s="17">
        <v>8265.3970000000008</v>
      </c>
      <c r="F377" s="17">
        <v>7755.3010000000004</v>
      </c>
      <c r="G377" s="17">
        <v>643</v>
      </c>
      <c r="H377" s="143">
        <v>5825.5219999999999</v>
      </c>
      <c r="I377" s="17">
        <v>70.480999999999995</v>
      </c>
      <c r="J377" s="17">
        <v>75.117000000000004</v>
      </c>
    </row>
    <row r="378" spans="1:16" ht="56.25" x14ac:dyDescent="0.2">
      <c r="A378" s="15" t="s">
        <v>382</v>
      </c>
      <c r="B378" s="16" t="s">
        <v>789</v>
      </c>
      <c r="C378" s="16" t="s">
        <v>788</v>
      </c>
      <c r="D378" s="16" t="s">
        <v>24</v>
      </c>
      <c r="E378" s="17"/>
      <c r="F378" s="17">
        <v>223.84399999999999</v>
      </c>
      <c r="G378" s="17">
        <v>15.164999999999999</v>
      </c>
      <c r="H378" s="143">
        <v>152.803</v>
      </c>
      <c r="I378" s="17" t="s">
        <v>826</v>
      </c>
      <c r="J378" s="17">
        <v>68.263000000000005</v>
      </c>
    </row>
    <row r="379" spans="1:16" ht="56.25" x14ac:dyDescent="0.2">
      <c r="A379" s="15" t="s">
        <v>382</v>
      </c>
      <c r="B379" s="16" t="s">
        <v>512</v>
      </c>
      <c r="C379" s="16" t="s">
        <v>787</v>
      </c>
      <c r="D379" s="16" t="s">
        <v>24</v>
      </c>
      <c r="E379" s="17">
        <v>887.67100000000005</v>
      </c>
      <c r="F379" s="17">
        <v>1281.201</v>
      </c>
      <c r="G379" s="17">
        <v>82.799000000000007</v>
      </c>
      <c r="H379" s="143">
        <v>983.63800000000003</v>
      </c>
      <c r="I379" s="17">
        <v>110.81100000000001</v>
      </c>
      <c r="J379" s="17">
        <v>76.775000000000006</v>
      </c>
    </row>
    <row r="380" spans="1:16" ht="56.25" x14ac:dyDescent="0.2">
      <c r="A380" s="15" t="s">
        <v>382</v>
      </c>
      <c r="B380" s="16" t="s">
        <v>513</v>
      </c>
      <c r="C380" s="16" t="s">
        <v>383</v>
      </c>
      <c r="D380" s="16" t="s">
        <v>24</v>
      </c>
      <c r="E380" s="17"/>
      <c r="F380" s="17">
        <v>439.11399999999998</v>
      </c>
      <c r="G380" s="17">
        <v>31.824000000000002</v>
      </c>
      <c r="H380" s="143">
        <v>264.14800000000002</v>
      </c>
      <c r="I380" s="17"/>
      <c r="J380" s="17">
        <v>60.155000000000001</v>
      </c>
    </row>
    <row r="381" spans="1:16" s="66" customFormat="1" ht="25.5" customHeight="1" x14ac:dyDescent="0.2">
      <c r="A381" s="60" t="s">
        <v>385</v>
      </c>
      <c r="B381" s="61" t="s">
        <v>386</v>
      </c>
      <c r="C381" s="61"/>
      <c r="D381" s="61"/>
      <c r="E381" s="62"/>
      <c r="F381" s="63">
        <v>7.9</v>
      </c>
      <c r="G381" s="116">
        <v>81.769000000000005</v>
      </c>
      <c r="H381" s="140">
        <v>115.04900000000001</v>
      </c>
      <c r="I381" s="112"/>
      <c r="J381" s="64">
        <v>1456.31</v>
      </c>
      <c r="K381" s="97">
        <f>H381/F381*100</f>
        <v>1456.3164556962026</v>
      </c>
      <c r="L381" s="62"/>
      <c r="M381" s="62"/>
      <c r="N381" s="62"/>
      <c r="O381" s="62"/>
      <c r="P381" s="65"/>
    </row>
    <row r="382" spans="1:16" ht="22.5" x14ac:dyDescent="0.2">
      <c r="A382" s="11" t="s">
        <v>387</v>
      </c>
      <c r="B382" s="12" t="s">
        <v>388</v>
      </c>
      <c r="C382" s="12"/>
      <c r="D382" s="12"/>
      <c r="E382" s="13"/>
      <c r="F382" s="13">
        <v>7.9</v>
      </c>
      <c r="G382" s="13">
        <v>81.769000000000005</v>
      </c>
      <c r="H382" s="144">
        <v>115.04900000000001</v>
      </c>
      <c r="I382" s="13"/>
      <c r="J382" s="13">
        <v>1456.31</v>
      </c>
    </row>
    <row r="383" spans="1:16" ht="45" x14ac:dyDescent="0.2">
      <c r="A383" s="11" t="s">
        <v>389</v>
      </c>
      <c r="B383" s="12" t="s">
        <v>390</v>
      </c>
      <c r="C383" s="12"/>
      <c r="D383" s="12"/>
      <c r="E383" s="13"/>
      <c r="F383" s="13">
        <v>7.9</v>
      </c>
      <c r="G383" s="13">
        <v>81.769000000000005</v>
      </c>
      <c r="H383" s="144">
        <v>115.04900000000001</v>
      </c>
      <c r="I383" s="13"/>
      <c r="J383" s="13">
        <v>1456.31</v>
      </c>
    </row>
    <row r="384" spans="1:16" ht="33.75" x14ac:dyDescent="0.2">
      <c r="A384" s="15" t="s">
        <v>389</v>
      </c>
      <c r="B384" s="16" t="s">
        <v>391</v>
      </c>
      <c r="C384" s="16" t="s">
        <v>23</v>
      </c>
      <c r="D384" s="16" t="s">
        <v>24</v>
      </c>
      <c r="E384" s="17"/>
      <c r="F384" s="17">
        <v>7.9</v>
      </c>
      <c r="G384" s="17">
        <v>81.769000000000005</v>
      </c>
      <c r="H384" s="143">
        <v>115.04900000000001</v>
      </c>
      <c r="I384" s="17"/>
      <c r="J384" s="17">
        <v>1456.31</v>
      </c>
    </row>
    <row r="385" spans="1:16" s="66" customFormat="1" ht="48" x14ac:dyDescent="0.2">
      <c r="A385" s="60" t="s">
        <v>392</v>
      </c>
      <c r="B385" s="61" t="s">
        <v>393</v>
      </c>
      <c r="C385" s="61"/>
      <c r="D385" s="61"/>
      <c r="E385" s="62"/>
      <c r="F385" s="63">
        <v>-18453.207999999999</v>
      </c>
      <c r="G385" s="116"/>
      <c r="H385" s="140">
        <v>-18453.207999999999</v>
      </c>
      <c r="I385" s="112"/>
      <c r="J385" s="64">
        <v>100</v>
      </c>
      <c r="K385" s="97"/>
      <c r="L385" s="62"/>
      <c r="M385" s="62"/>
      <c r="N385" s="62"/>
      <c r="O385" s="62"/>
      <c r="P385" s="65"/>
    </row>
    <row r="386" spans="1:16" ht="45" x14ac:dyDescent="0.2">
      <c r="A386" s="11" t="s">
        <v>394</v>
      </c>
      <c r="B386" s="12" t="s">
        <v>605</v>
      </c>
      <c r="C386" s="12"/>
      <c r="D386" s="12"/>
      <c r="E386" s="13"/>
      <c r="F386" s="13">
        <v>-18453.207999999999</v>
      </c>
      <c r="G386" s="13"/>
      <c r="H386" s="144">
        <v>-18453.207999999999</v>
      </c>
      <c r="I386" s="13"/>
      <c r="J386" s="13">
        <v>100</v>
      </c>
    </row>
    <row r="387" spans="1:16" ht="45" x14ac:dyDescent="0.2">
      <c r="A387" s="11" t="s">
        <v>514</v>
      </c>
      <c r="B387" s="12" t="s">
        <v>606</v>
      </c>
      <c r="C387" s="12"/>
      <c r="D387" s="12"/>
      <c r="E387" s="13"/>
      <c r="F387" s="13">
        <v>-18453.207999999999</v>
      </c>
      <c r="G387" s="13"/>
      <c r="H387" s="144">
        <v>-18453.207999999999</v>
      </c>
      <c r="I387" s="13"/>
      <c r="J387" s="13">
        <v>100</v>
      </c>
    </row>
    <row r="388" spans="1:16" ht="45" x14ac:dyDescent="0.2">
      <c r="A388" s="15" t="s">
        <v>514</v>
      </c>
      <c r="B388" s="16" t="s">
        <v>607</v>
      </c>
      <c r="C388" s="16" t="s">
        <v>23</v>
      </c>
      <c r="D388" s="16" t="s">
        <v>24</v>
      </c>
      <c r="E388" s="17"/>
      <c r="F388" s="17">
        <v>-17797.001</v>
      </c>
      <c r="G388" s="17"/>
      <c r="H388" s="143">
        <v>-17797.001</v>
      </c>
      <c r="I388" s="17"/>
      <c r="J388" s="17">
        <v>100</v>
      </c>
    </row>
    <row r="389" spans="1:16" ht="45" x14ac:dyDescent="0.2">
      <c r="A389" s="15" t="s">
        <v>514</v>
      </c>
      <c r="B389" s="16" t="s">
        <v>608</v>
      </c>
      <c r="C389" s="16" t="s">
        <v>23</v>
      </c>
      <c r="D389" s="16" t="s">
        <v>24</v>
      </c>
      <c r="E389" s="17"/>
      <c r="F389" s="17">
        <v>-395.63400000000001</v>
      </c>
      <c r="G389" s="17"/>
      <c r="H389" s="143">
        <v>-395.63400000000001</v>
      </c>
      <c r="I389" s="17"/>
      <c r="J389" s="17">
        <v>100</v>
      </c>
    </row>
    <row r="390" spans="1:16" ht="45" x14ac:dyDescent="0.2">
      <c r="A390" s="15" t="s">
        <v>514</v>
      </c>
      <c r="B390" s="16" t="s">
        <v>515</v>
      </c>
      <c r="C390" s="16" t="s">
        <v>23</v>
      </c>
      <c r="D390" s="16" t="s">
        <v>24</v>
      </c>
      <c r="E390" s="17"/>
      <c r="F390" s="17">
        <v>-159.86199999999999</v>
      </c>
      <c r="G390" s="17"/>
      <c r="H390" s="143">
        <v>-159.86199999999999</v>
      </c>
      <c r="I390" s="17"/>
      <c r="J390" s="17">
        <v>100</v>
      </c>
    </row>
    <row r="391" spans="1:16" ht="45" x14ac:dyDescent="0.2">
      <c r="A391" s="15" t="s">
        <v>514</v>
      </c>
      <c r="B391" s="16" t="s">
        <v>609</v>
      </c>
      <c r="C391" s="16" t="s">
        <v>23</v>
      </c>
      <c r="D391" s="16" t="s">
        <v>24</v>
      </c>
      <c r="E391" s="17"/>
      <c r="F391" s="17">
        <v>-87.281000000000006</v>
      </c>
      <c r="G391" s="17"/>
      <c r="H391" s="143">
        <v>-87.281000000000006</v>
      </c>
      <c r="I391" s="17"/>
      <c r="J391" s="17">
        <v>100</v>
      </c>
    </row>
    <row r="392" spans="1:16" ht="45" x14ac:dyDescent="0.2">
      <c r="A392" s="15" t="s">
        <v>514</v>
      </c>
      <c r="B392" s="16" t="s">
        <v>610</v>
      </c>
      <c r="C392" s="16" t="s">
        <v>23</v>
      </c>
      <c r="D392" s="16" t="s">
        <v>24</v>
      </c>
      <c r="E392" s="17"/>
      <c r="F392" s="17">
        <v>-13.43</v>
      </c>
      <c r="G392" s="17"/>
      <c r="H392" s="143">
        <v>-13.43</v>
      </c>
      <c r="I392" s="17"/>
      <c r="J392" s="17">
        <v>100</v>
      </c>
    </row>
    <row r="393" spans="1:16" s="66" customFormat="1" ht="36" customHeight="1" x14ac:dyDescent="0.2">
      <c r="A393" s="60" t="s">
        <v>395</v>
      </c>
      <c r="B393" s="61"/>
      <c r="C393" s="61"/>
      <c r="D393" s="61"/>
      <c r="E393" s="62">
        <v>1618204.101</v>
      </c>
      <c r="F393" s="63">
        <v>1963469.7379999999</v>
      </c>
      <c r="G393" s="63">
        <v>134511.185</v>
      </c>
      <c r="H393" s="148">
        <v>1327742.956</v>
      </c>
      <c r="I393" s="112">
        <v>82.05</v>
      </c>
      <c r="J393" s="64">
        <v>67.622</v>
      </c>
      <c r="K393" s="97"/>
      <c r="L393" s="62"/>
      <c r="M393" s="62"/>
      <c r="N393" s="62"/>
      <c r="O393" s="62"/>
      <c r="P393" s="65"/>
    </row>
  </sheetData>
  <mergeCells count="14">
    <mergeCell ref="F11:F12"/>
    <mergeCell ref="G11:G12"/>
    <mergeCell ref="H11:H12"/>
    <mergeCell ref="A11:A12"/>
    <mergeCell ref="B11:B12"/>
    <mergeCell ref="C11:C12"/>
    <mergeCell ref="D11:D12"/>
    <mergeCell ref="E11:E12"/>
    <mergeCell ref="B9:J9"/>
    <mergeCell ref="A2:H2"/>
    <mergeCell ref="A4:J4"/>
    <mergeCell ref="A5:J5"/>
    <mergeCell ref="B7:J7"/>
    <mergeCell ref="B8:J8"/>
  </mergeCells>
  <pageMargins left="0.59055118110236227" right="0.59055118110236227" top="0.59055118110236227" bottom="0.59055118110236227" header="0" footer="0"/>
  <pageSetup paperSize="9"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48"/>
  <sheetViews>
    <sheetView showGridLines="0" tabSelected="1" view="pageBreakPreview" zoomScaleSheetLayoutView="100" workbookViewId="0">
      <pane xSplit="1" ySplit="3" topLeftCell="B76" activePane="bottomRight" state="frozen"/>
      <selection pane="topRight" activeCell="B1" sqref="B1"/>
      <selection pane="bottomLeft" activeCell="A4" sqref="A4"/>
      <selection pane="bottomRight" activeCell="A244" sqref="A244:E244"/>
    </sheetView>
  </sheetViews>
  <sheetFormatPr defaultRowHeight="12.75" customHeight="1" x14ac:dyDescent="0.2"/>
  <cols>
    <col min="1" max="1" width="44.7109375" style="25" customWidth="1"/>
    <col min="2" max="2" width="13" style="25" customWidth="1"/>
    <col min="3" max="3" width="21" style="25" customWidth="1"/>
    <col min="4" max="4" width="37.7109375" style="25" hidden="1" customWidth="1"/>
    <col min="5" max="5" width="20" style="25" customWidth="1"/>
    <col min="6" max="6" width="16.7109375" style="107" hidden="1" customWidth="1"/>
    <col min="7" max="7" width="18.28515625" style="179" customWidth="1"/>
    <col min="8" max="8" width="20" style="180" customWidth="1"/>
    <col min="9" max="11" width="16.42578125" style="180" customWidth="1"/>
    <col min="12" max="12" width="11.140625" style="154" bestFit="1" customWidth="1"/>
    <col min="13" max="13" width="13.42578125" style="160" bestFit="1" customWidth="1"/>
    <col min="14" max="16384" width="9.140625" style="25"/>
  </cols>
  <sheetData>
    <row r="1" spans="1:13" s="27" customFormat="1" ht="34.5" customHeight="1" x14ac:dyDescent="0.2">
      <c r="A1" s="189" t="s">
        <v>611</v>
      </c>
      <c r="B1" s="189"/>
      <c r="C1" s="189"/>
      <c r="D1" s="189"/>
      <c r="E1" s="189"/>
      <c r="F1" s="189"/>
      <c r="G1" s="189"/>
      <c r="H1" s="189"/>
      <c r="I1" s="189"/>
      <c r="J1" s="189"/>
      <c r="K1" s="167" t="s">
        <v>402</v>
      </c>
      <c r="L1" s="153"/>
      <c r="M1" s="159"/>
    </row>
    <row r="2" spans="1:13" s="27" customFormat="1" ht="24.75" customHeight="1" x14ac:dyDescent="0.2">
      <c r="A2" s="190" t="s">
        <v>396</v>
      </c>
      <c r="B2" s="190" t="s">
        <v>798</v>
      </c>
      <c r="C2" s="190" t="s">
        <v>399</v>
      </c>
      <c r="D2" s="190"/>
      <c r="E2" s="190" t="s">
        <v>398</v>
      </c>
      <c r="F2" s="191" t="s">
        <v>612</v>
      </c>
      <c r="G2" s="192" t="s">
        <v>613</v>
      </c>
      <c r="H2" s="192" t="s">
        <v>614</v>
      </c>
      <c r="I2" s="192" t="s">
        <v>401</v>
      </c>
      <c r="J2" s="192"/>
      <c r="K2" s="192"/>
      <c r="L2" s="153"/>
      <c r="M2" s="159"/>
    </row>
    <row r="3" spans="1:13" ht="86.25" customHeight="1" x14ac:dyDescent="0.2">
      <c r="A3" s="190"/>
      <c r="B3" s="190"/>
      <c r="C3" s="108" t="s">
        <v>400</v>
      </c>
      <c r="D3" s="108" t="s">
        <v>397</v>
      </c>
      <c r="E3" s="190"/>
      <c r="F3" s="191"/>
      <c r="G3" s="192"/>
      <c r="H3" s="192"/>
      <c r="I3" s="168" t="s">
        <v>615</v>
      </c>
      <c r="J3" s="168" t="s">
        <v>616</v>
      </c>
      <c r="K3" s="168" t="s">
        <v>617</v>
      </c>
    </row>
    <row r="4" spans="1:13" ht="15" customHeight="1" x14ac:dyDescent="0.2">
      <c r="A4" s="21" t="s">
        <v>19</v>
      </c>
      <c r="B4" s="49"/>
      <c r="C4" s="26"/>
      <c r="D4" s="50"/>
      <c r="E4" s="50"/>
      <c r="F4" s="99"/>
      <c r="G4" s="169"/>
      <c r="H4" s="169"/>
      <c r="I4" s="169"/>
      <c r="J4" s="169"/>
      <c r="K4" s="169"/>
    </row>
    <row r="5" spans="1:13" ht="84" x14ac:dyDescent="0.2">
      <c r="A5" s="23" t="s">
        <v>25</v>
      </c>
      <c r="B5" s="196" t="s">
        <v>403</v>
      </c>
      <c r="C5" s="199" t="s">
        <v>620</v>
      </c>
      <c r="D5" s="208" t="s">
        <v>404</v>
      </c>
      <c r="E5" s="199" t="s">
        <v>405</v>
      </c>
      <c r="F5" s="205">
        <v>332277.36599999998</v>
      </c>
      <c r="G5" s="193">
        <v>260634.67300000001</v>
      </c>
      <c r="H5" s="193">
        <v>365831.7</v>
      </c>
      <c r="I5" s="193">
        <v>384504.2</v>
      </c>
      <c r="J5" s="193">
        <v>405267.4</v>
      </c>
      <c r="K5" s="193">
        <v>432420.3</v>
      </c>
    </row>
    <row r="6" spans="1:13" ht="72" x14ac:dyDescent="0.2">
      <c r="A6" s="23" t="s">
        <v>28</v>
      </c>
      <c r="B6" s="197"/>
      <c r="C6" s="200"/>
      <c r="D6" s="209"/>
      <c r="E6" s="200"/>
      <c r="F6" s="206"/>
      <c r="G6" s="194"/>
      <c r="H6" s="194"/>
      <c r="I6" s="194"/>
      <c r="J6" s="194"/>
      <c r="K6" s="194"/>
      <c r="L6" s="154">
        <f>L8+L9+L10+L11</f>
        <v>377041.3</v>
      </c>
      <c r="M6" s="164"/>
    </row>
    <row r="7" spans="1:13" ht="87" customHeight="1" x14ac:dyDescent="0.2">
      <c r="A7" s="23" t="s">
        <v>31</v>
      </c>
      <c r="B7" s="197"/>
      <c r="C7" s="200"/>
      <c r="D7" s="209"/>
      <c r="E7" s="200"/>
      <c r="F7" s="206"/>
      <c r="G7" s="194"/>
      <c r="H7" s="194"/>
      <c r="I7" s="194"/>
      <c r="J7" s="194"/>
      <c r="K7" s="194"/>
      <c r="L7" s="154">
        <v>377041.3</v>
      </c>
      <c r="M7" s="160">
        <f>G5+G9+G13+G17</f>
        <v>268620.86499999999</v>
      </c>
    </row>
    <row r="8" spans="1:13" ht="72" x14ac:dyDescent="0.2">
      <c r="A8" s="23" t="s">
        <v>34</v>
      </c>
      <c r="B8" s="198"/>
      <c r="C8" s="201"/>
      <c r="D8" s="210"/>
      <c r="E8" s="201"/>
      <c r="F8" s="207"/>
      <c r="G8" s="195"/>
      <c r="H8" s="195"/>
      <c r="I8" s="195"/>
      <c r="J8" s="195"/>
      <c r="K8" s="195"/>
      <c r="L8" s="154">
        <f>L7*M8</f>
        <v>365831.73065500666</v>
      </c>
      <c r="M8" s="158">
        <f>G5/M7</f>
        <v>0.97026965124246778</v>
      </c>
    </row>
    <row r="9" spans="1:13" ht="123.75" customHeight="1" x14ac:dyDescent="0.2">
      <c r="A9" s="23" t="s">
        <v>40</v>
      </c>
      <c r="B9" s="196" t="s">
        <v>403</v>
      </c>
      <c r="C9" s="199" t="s">
        <v>621</v>
      </c>
      <c r="D9" s="202" t="s">
        <v>406</v>
      </c>
      <c r="E9" s="199" t="s">
        <v>405</v>
      </c>
      <c r="F9" s="205">
        <v>945.07100000000003</v>
      </c>
      <c r="G9" s="193">
        <v>1099.835</v>
      </c>
      <c r="H9" s="193">
        <v>1543.8</v>
      </c>
      <c r="I9" s="193">
        <v>1555.1</v>
      </c>
      <c r="J9" s="193">
        <v>1639.1</v>
      </c>
      <c r="K9" s="193">
        <v>1748.9</v>
      </c>
      <c r="L9" s="154">
        <f>L7*M9</f>
        <v>1543.7490985128798</v>
      </c>
      <c r="M9" s="158">
        <f>G9/M7</f>
        <v>4.0943766598324372E-3</v>
      </c>
    </row>
    <row r="10" spans="1:13" ht="96" customHeight="1" x14ac:dyDescent="0.2">
      <c r="A10" s="23" t="s">
        <v>43</v>
      </c>
      <c r="B10" s="197"/>
      <c r="C10" s="200"/>
      <c r="D10" s="203"/>
      <c r="E10" s="200"/>
      <c r="F10" s="206"/>
      <c r="G10" s="194"/>
      <c r="H10" s="194"/>
      <c r="I10" s="194"/>
      <c r="J10" s="194"/>
      <c r="K10" s="194"/>
      <c r="L10" s="154">
        <f>L7*M10</f>
        <v>2301.9067829075748</v>
      </c>
      <c r="M10" s="158">
        <f>G13/M7</f>
        <v>6.1051847182459189E-3</v>
      </c>
    </row>
    <row r="11" spans="1:13" ht="120" x14ac:dyDescent="0.2">
      <c r="A11" s="23" t="s">
        <v>46</v>
      </c>
      <c r="B11" s="197"/>
      <c r="C11" s="200"/>
      <c r="D11" s="203"/>
      <c r="E11" s="200"/>
      <c r="F11" s="206"/>
      <c r="G11" s="194"/>
      <c r="H11" s="194"/>
      <c r="I11" s="194"/>
      <c r="J11" s="194"/>
      <c r="K11" s="194"/>
      <c r="L11" s="154">
        <f>L7*M11</f>
        <v>7363.9134635729069</v>
      </c>
      <c r="M11" s="158">
        <f>G17/M7</f>
        <v>1.9530787379453941E-2</v>
      </c>
    </row>
    <row r="12" spans="1:13" ht="96" x14ac:dyDescent="0.2">
      <c r="A12" s="23" t="s">
        <v>49</v>
      </c>
      <c r="B12" s="198"/>
      <c r="C12" s="201"/>
      <c r="D12" s="204"/>
      <c r="E12" s="201"/>
      <c r="F12" s="207"/>
      <c r="G12" s="195"/>
      <c r="H12" s="195"/>
      <c r="I12" s="195"/>
      <c r="J12" s="195"/>
      <c r="K12" s="195"/>
      <c r="M12" s="158"/>
    </row>
    <row r="13" spans="1:13" ht="60" x14ac:dyDescent="0.2">
      <c r="A13" s="24" t="s">
        <v>53</v>
      </c>
      <c r="B13" s="196" t="s">
        <v>403</v>
      </c>
      <c r="C13" s="199" t="s">
        <v>619</v>
      </c>
      <c r="D13" s="220" t="s">
        <v>407</v>
      </c>
      <c r="E13" s="199" t="s">
        <v>405</v>
      </c>
      <c r="F13" s="205">
        <v>904.06500000000005</v>
      </c>
      <c r="G13" s="193">
        <v>1639.98</v>
      </c>
      <c r="H13" s="193">
        <v>2301.9</v>
      </c>
      <c r="I13" s="193">
        <v>2721.5</v>
      </c>
      <c r="J13" s="193">
        <v>2868.4</v>
      </c>
      <c r="K13" s="193">
        <v>3060.6</v>
      </c>
    </row>
    <row r="14" spans="1:13" ht="48" x14ac:dyDescent="0.2">
      <c r="A14" s="24" t="s">
        <v>56</v>
      </c>
      <c r="B14" s="197"/>
      <c r="C14" s="200"/>
      <c r="D14" s="221"/>
      <c r="E14" s="200"/>
      <c r="F14" s="206"/>
      <c r="G14" s="194"/>
      <c r="H14" s="194"/>
      <c r="I14" s="194"/>
      <c r="J14" s="194"/>
      <c r="K14" s="194"/>
    </row>
    <row r="15" spans="1:13" ht="67.5" customHeight="1" x14ac:dyDescent="0.2">
      <c r="A15" s="24" t="s">
        <v>59</v>
      </c>
      <c r="B15" s="197"/>
      <c r="C15" s="200"/>
      <c r="D15" s="221"/>
      <c r="E15" s="200"/>
      <c r="F15" s="206"/>
      <c r="G15" s="194"/>
      <c r="H15" s="194"/>
      <c r="I15" s="194"/>
      <c r="J15" s="194"/>
      <c r="K15" s="194"/>
    </row>
    <row r="16" spans="1:13" ht="48" x14ac:dyDescent="0.2">
      <c r="A16" s="24" t="s">
        <v>62</v>
      </c>
      <c r="B16" s="198"/>
      <c r="C16" s="201"/>
      <c r="D16" s="222"/>
      <c r="E16" s="201"/>
      <c r="F16" s="207"/>
      <c r="G16" s="195"/>
      <c r="H16" s="195"/>
      <c r="I16" s="195"/>
      <c r="J16" s="195"/>
      <c r="K16" s="195"/>
    </row>
    <row r="17" spans="1:13" ht="106.5" customHeight="1" x14ac:dyDescent="0.2">
      <c r="A17" s="23" t="s">
        <v>68</v>
      </c>
      <c r="B17" s="31" t="s">
        <v>838</v>
      </c>
      <c r="C17" s="29" t="s">
        <v>618</v>
      </c>
      <c r="D17" s="23" t="s">
        <v>65</v>
      </c>
      <c r="E17" s="29" t="s">
        <v>405</v>
      </c>
      <c r="F17" s="53">
        <v>5855.6239999999998</v>
      </c>
      <c r="G17" s="170">
        <v>5246.3770000000004</v>
      </c>
      <c r="H17" s="170">
        <v>7363.9</v>
      </c>
      <c r="I17" s="170">
        <v>7311.5</v>
      </c>
      <c r="J17" s="170">
        <v>7501.6</v>
      </c>
      <c r="K17" s="170">
        <v>7696.7</v>
      </c>
    </row>
    <row r="18" spans="1:13" ht="31.5" customHeight="1" x14ac:dyDescent="0.2">
      <c r="A18" s="22" t="s">
        <v>408</v>
      </c>
      <c r="B18" s="31"/>
      <c r="C18" s="29"/>
      <c r="D18" s="23"/>
      <c r="E18" s="29"/>
      <c r="F18" s="102"/>
      <c r="G18" s="172"/>
      <c r="H18" s="173"/>
      <c r="I18" s="173"/>
      <c r="J18" s="173"/>
      <c r="K18" s="173"/>
    </row>
    <row r="19" spans="1:13" ht="71.25" customHeight="1" x14ac:dyDescent="0.2">
      <c r="A19" s="23" t="s">
        <v>421</v>
      </c>
      <c r="B19" s="211" t="s">
        <v>837</v>
      </c>
      <c r="C19" s="29" t="s">
        <v>622</v>
      </c>
      <c r="D19" s="23" t="s">
        <v>409</v>
      </c>
      <c r="E19" s="29" t="s">
        <v>417</v>
      </c>
      <c r="F19" s="54">
        <v>0</v>
      </c>
      <c r="G19" s="170">
        <v>688.26400000000001</v>
      </c>
      <c r="H19" s="170">
        <v>745.9</v>
      </c>
      <c r="I19" s="170">
        <v>2107.7800000000002</v>
      </c>
      <c r="J19" s="170">
        <v>2705.68</v>
      </c>
      <c r="K19" s="170">
        <v>2916.96</v>
      </c>
    </row>
    <row r="20" spans="1:13" ht="87.75" customHeight="1" x14ac:dyDescent="0.2">
      <c r="A20" s="23" t="s">
        <v>420</v>
      </c>
      <c r="B20" s="212"/>
      <c r="C20" s="29" t="s">
        <v>623</v>
      </c>
      <c r="D20" s="23" t="s">
        <v>410</v>
      </c>
      <c r="E20" s="29" t="s">
        <v>417</v>
      </c>
      <c r="F20" s="54">
        <v>0</v>
      </c>
      <c r="G20" s="170">
        <v>6.2430000000000003</v>
      </c>
      <c r="H20" s="170">
        <v>7.9</v>
      </c>
      <c r="I20" s="170">
        <v>19.399999999999999</v>
      </c>
      <c r="J20" s="170">
        <v>24.9</v>
      </c>
      <c r="K20" s="170">
        <v>26.8</v>
      </c>
    </row>
    <row r="21" spans="1:13" ht="73.5" customHeight="1" x14ac:dyDescent="0.2">
      <c r="A21" s="23" t="s">
        <v>419</v>
      </c>
      <c r="B21" s="212"/>
      <c r="C21" s="29" t="s">
        <v>624</v>
      </c>
      <c r="D21" s="23" t="s">
        <v>411</v>
      </c>
      <c r="E21" s="29" t="s">
        <v>417</v>
      </c>
      <c r="F21" s="54">
        <v>0</v>
      </c>
      <c r="G21" s="170">
        <v>1040.133</v>
      </c>
      <c r="H21" s="170">
        <v>1245.0999999999999</v>
      </c>
      <c r="I21" s="170">
        <v>3188.3</v>
      </c>
      <c r="J21" s="170">
        <v>4092.7</v>
      </c>
      <c r="K21" s="170">
        <v>4412.3999999999996</v>
      </c>
    </row>
    <row r="22" spans="1:13" ht="75" customHeight="1" x14ac:dyDescent="0.2">
      <c r="A22" s="23" t="s">
        <v>418</v>
      </c>
      <c r="B22" s="213"/>
      <c r="C22" s="29" t="s">
        <v>625</v>
      </c>
      <c r="D22" s="23" t="s">
        <v>412</v>
      </c>
      <c r="E22" s="29" t="s">
        <v>417</v>
      </c>
      <c r="F22" s="54">
        <v>0</v>
      </c>
      <c r="G22" s="170">
        <v>-154.16800000000001</v>
      </c>
      <c r="H22" s="170">
        <v>0</v>
      </c>
      <c r="I22" s="170">
        <v>-470</v>
      </c>
      <c r="J22" s="170">
        <v>-603.29999999999995</v>
      </c>
      <c r="K22" s="170">
        <v>-650.5</v>
      </c>
    </row>
    <row r="23" spans="1:13" s="34" customFormat="1" ht="32.25" customHeight="1" x14ac:dyDescent="0.2">
      <c r="A23" s="22" t="s">
        <v>422</v>
      </c>
      <c r="B23" s="33"/>
      <c r="C23" s="28"/>
      <c r="D23" s="22"/>
      <c r="E23" s="28"/>
      <c r="F23" s="103"/>
      <c r="G23" s="172"/>
      <c r="H23" s="172"/>
      <c r="I23" s="172"/>
      <c r="J23" s="172"/>
      <c r="K23" s="172"/>
      <c r="L23" s="155"/>
      <c r="M23" s="161"/>
    </row>
    <row r="24" spans="1:13" ht="57.75" customHeight="1" x14ac:dyDescent="0.2">
      <c r="A24" s="52" t="s">
        <v>423</v>
      </c>
      <c r="B24" s="214">
        <v>30</v>
      </c>
      <c r="C24" s="217" t="s">
        <v>792</v>
      </c>
      <c r="D24" s="202" t="s">
        <v>422</v>
      </c>
      <c r="E24" s="199" t="s">
        <v>405</v>
      </c>
      <c r="F24" s="205">
        <v>11905.028</v>
      </c>
      <c r="G24" s="193">
        <v>10915.531000000001</v>
      </c>
      <c r="H24" s="193">
        <v>14854.6</v>
      </c>
      <c r="I24" s="193">
        <v>14297.9</v>
      </c>
      <c r="J24" s="193">
        <v>14812.6</v>
      </c>
      <c r="K24" s="193">
        <v>15405.1</v>
      </c>
    </row>
    <row r="25" spans="1:13" ht="39.75" customHeight="1" x14ac:dyDescent="0.2">
      <c r="A25" s="52" t="s">
        <v>424</v>
      </c>
      <c r="B25" s="215"/>
      <c r="C25" s="218"/>
      <c r="D25" s="203"/>
      <c r="E25" s="200"/>
      <c r="F25" s="206"/>
      <c r="G25" s="194"/>
      <c r="H25" s="194"/>
      <c r="I25" s="194"/>
      <c r="J25" s="194"/>
      <c r="K25" s="194"/>
    </row>
    <row r="26" spans="1:13" ht="58.5" customHeight="1" x14ac:dyDescent="0.2">
      <c r="A26" s="52" t="s">
        <v>425</v>
      </c>
      <c r="B26" s="215"/>
      <c r="C26" s="218"/>
      <c r="D26" s="203"/>
      <c r="E26" s="200"/>
      <c r="F26" s="206"/>
      <c r="G26" s="194"/>
      <c r="H26" s="194"/>
      <c r="I26" s="194"/>
      <c r="J26" s="194"/>
      <c r="K26" s="194"/>
    </row>
    <row r="27" spans="1:13" ht="40.5" customHeight="1" x14ac:dyDescent="0.2">
      <c r="A27" s="52" t="s">
        <v>426</v>
      </c>
      <c r="B27" s="216"/>
      <c r="C27" s="219"/>
      <c r="D27" s="204"/>
      <c r="E27" s="201"/>
      <c r="F27" s="207"/>
      <c r="G27" s="195"/>
      <c r="H27" s="195"/>
      <c r="I27" s="195"/>
      <c r="J27" s="195"/>
      <c r="K27" s="195"/>
    </row>
    <row r="28" spans="1:13" ht="70.5" hidden="1" customHeight="1" x14ac:dyDescent="0.2">
      <c r="A28" s="133" t="s">
        <v>427</v>
      </c>
      <c r="B28" s="214">
        <v>30</v>
      </c>
      <c r="C28" s="217" t="s">
        <v>793</v>
      </c>
      <c r="D28" s="202" t="s">
        <v>430</v>
      </c>
      <c r="E28" s="199" t="s">
        <v>405</v>
      </c>
      <c r="F28" s="205">
        <v>4.3019999999999996</v>
      </c>
      <c r="G28" s="193">
        <v>0</v>
      </c>
      <c r="H28" s="223">
        <v>0</v>
      </c>
      <c r="I28" s="223">
        <v>0</v>
      </c>
      <c r="J28" s="223">
        <v>0</v>
      </c>
      <c r="K28" s="223">
        <v>0</v>
      </c>
    </row>
    <row r="29" spans="1:13" ht="52.5" hidden="1" customHeight="1" x14ac:dyDescent="0.2">
      <c r="A29" s="132" t="s">
        <v>428</v>
      </c>
      <c r="B29" s="215"/>
      <c r="C29" s="218"/>
      <c r="D29" s="203"/>
      <c r="E29" s="200"/>
      <c r="F29" s="206"/>
      <c r="G29" s="194"/>
      <c r="H29" s="224"/>
      <c r="I29" s="224"/>
      <c r="J29" s="224"/>
      <c r="K29" s="224"/>
    </row>
    <row r="30" spans="1:13" ht="71.25" hidden="1" customHeight="1" x14ac:dyDescent="0.2">
      <c r="A30" s="133" t="s">
        <v>429</v>
      </c>
      <c r="B30" s="216"/>
      <c r="C30" s="219"/>
      <c r="D30" s="204"/>
      <c r="E30" s="201"/>
      <c r="F30" s="207"/>
      <c r="G30" s="195"/>
      <c r="H30" s="225"/>
      <c r="I30" s="225"/>
      <c r="J30" s="225"/>
      <c r="K30" s="225"/>
    </row>
    <row r="31" spans="1:13" ht="41.25" customHeight="1" x14ac:dyDescent="0.2">
      <c r="A31" s="35" t="s">
        <v>431</v>
      </c>
      <c r="B31" s="51"/>
      <c r="C31" s="29"/>
      <c r="D31" s="23"/>
      <c r="E31" s="29"/>
      <c r="F31" s="102"/>
      <c r="G31" s="172"/>
      <c r="H31" s="173"/>
      <c r="I31" s="173"/>
      <c r="J31" s="173"/>
      <c r="K31" s="173"/>
    </row>
    <row r="32" spans="1:13" ht="62.25" customHeight="1" x14ac:dyDescent="0.2">
      <c r="A32" s="23" t="s">
        <v>433</v>
      </c>
      <c r="B32" s="214">
        <v>30</v>
      </c>
      <c r="C32" s="217" t="s">
        <v>794</v>
      </c>
      <c r="D32" s="220" t="s">
        <v>432</v>
      </c>
      <c r="E32" s="199" t="s">
        <v>405</v>
      </c>
      <c r="F32" s="205">
        <v>9443.5709999999999</v>
      </c>
      <c r="G32" s="193">
        <v>9109.3459999999995</v>
      </c>
      <c r="H32" s="193">
        <v>10350.799999999999</v>
      </c>
      <c r="I32" s="193">
        <v>11936.8</v>
      </c>
      <c r="J32" s="193">
        <v>12366.5</v>
      </c>
      <c r="K32" s="193">
        <v>12861.2</v>
      </c>
    </row>
    <row r="33" spans="1:12" ht="47.25" customHeight="1" x14ac:dyDescent="0.2">
      <c r="A33" s="23" t="s">
        <v>434</v>
      </c>
      <c r="B33" s="215"/>
      <c r="C33" s="218"/>
      <c r="D33" s="221"/>
      <c r="E33" s="200"/>
      <c r="F33" s="206"/>
      <c r="G33" s="194"/>
      <c r="H33" s="194"/>
      <c r="I33" s="194"/>
      <c r="J33" s="194"/>
      <c r="K33" s="194"/>
    </row>
    <row r="34" spans="1:12" ht="62.25" customHeight="1" x14ac:dyDescent="0.2">
      <c r="A34" s="23" t="s">
        <v>435</v>
      </c>
      <c r="B34" s="216"/>
      <c r="C34" s="219"/>
      <c r="D34" s="222"/>
      <c r="E34" s="201"/>
      <c r="F34" s="207"/>
      <c r="G34" s="195"/>
      <c r="H34" s="194"/>
      <c r="I34" s="195"/>
      <c r="J34" s="195"/>
      <c r="K34" s="195"/>
    </row>
    <row r="35" spans="1:12" ht="77.25" hidden="1" customHeight="1" x14ac:dyDescent="0.2">
      <c r="A35" s="133" t="s">
        <v>436</v>
      </c>
      <c r="B35" s="51">
        <v>30</v>
      </c>
      <c r="C35" s="46" t="s">
        <v>795</v>
      </c>
      <c r="D35" s="23" t="s">
        <v>437</v>
      </c>
      <c r="E35" s="29" t="s">
        <v>405</v>
      </c>
      <c r="F35" s="53">
        <v>-0.58299999999999996</v>
      </c>
      <c r="G35" s="170">
        <v>0</v>
      </c>
      <c r="H35" s="171">
        <v>0</v>
      </c>
      <c r="I35" s="171">
        <v>0</v>
      </c>
      <c r="J35" s="171">
        <v>0</v>
      </c>
      <c r="K35" s="171">
        <v>0</v>
      </c>
    </row>
    <row r="36" spans="1:12" ht="39.75" customHeight="1" x14ac:dyDescent="0.2">
      <c r="A36" s="35" t="s">
        <v>438</v>
      </c>
      <c r="B36" s="51"/>
      <c r="C36" s="29"/>
      <c r="D36" s="23"/>
      <c r="E36" s="29"/>
      <c r="F36" s="102"/>
      <c r="G36" s="172"/>
      <c r="H36" s="173"/>
      <c r="I36" s="173"/>
      <c r="J36" s="173"/>
      <c r="K36" s="173"/>
    </row>
    <row r="37" spans="1:12" ht="47.25" customHeight="1" x14ac:dyDescent="0.2">
      <c r="A37" s="23" t="s">
        <v>439</v>
      </c>
      <c r="B37" s="214">
        <v>30</v>
      </c>
      <c r="C37" s="217" t="s">
        <v>627</v>
      </c>
      <c r="D37" s="202" t="s">
        <v>438</v>
      </c>
      <c r="E37" s="199" t="s">
        <v>405</v>
      </c>
      <c r="F37" s="205">
        <v>-379.57400000000001</v>
      </c>
      <c r="G37" s="193">
        <v>-27.318000000000001</v>
      </c>
      <c r="H37" s="193">
        <v>-28.1</v>
      </c>
      <c r="I37" s="193">
        <v>0</v>
      </c>
      <c r="J37" s="193">
        <v>0</v>
      </c>
      <c r="K37" s="193">
        <v>0</v>
      </c>
    </row>
    <row r="38" spans="1:12" ht="36" customHeight="1" x14ac:dyDescent="0.2">
      <c r="A38" s="23" t="s">
        <v>440</v>
      </c>
      <c r="B38" s="215"/>
      <c r="C38" s="218"/>
      <c r="D38" s="203"/>
      <c r="E38" s="200"/>
      <c r="F38" s="206"/>
      <c r="G38" s="194"/>
      <c r="H38" s="194"/>
      <c r="I38" s="194"/>
      <c r="J38" s="194"/>
      <c r="K38" s="194"/>
    </row>
    <row r="39" spans="1:12" ht="51.75" customHeight="1" x14ac:dyDescent="0.2">
      <c r="A39" s="23" t="s">
        <v>441</v>
      </c>
      <c r="B39" s="216"/>
      <c r="C39" s="219"/>
      <c r="D39" s="204"/>
      <c r="E39" s="201"/>
      <c r="F39" s="207"/>
      <c r="G39" s="195"/>
      <c r="H39" s="195"/>
      <c r="I39" s="195"/>
      <c r="J39" s="195"/>
      <c r="K39" s="195"/>
    </row>
    <row r="40" spans="1:12" ht="24" x14ac:dyDescent="0.2">
      <c r="A40" s="21" t="s">
        <v>73</v>
      </c>
      <c r="B40" s="21"/>
      <c r="C40" s="28"/>
      <c r="D40" s="28"/>
      <c r="E40" s="32"/>
      <c r="F40" s="103"/>
      <c r="G40" s="172"/>
      <c r="H40" s="173"/>
      <c r="I40" s="173"/>
      <c r="J40" s="173"/>
      <c r="K40" s="173"/>
    </row>
    <row r="41" spans="1:12" ht="48" x14ac:dyDescent="0.2">
      <c r="A41" s="24" t="s">
        <v>76</v>
      </c>
      <c r="B41" s="199" t="s">
        <v>442</v>
      </c>
      <c r="C41" s="217" t="s">
        <v>626</v>
      </c>
      <c r="D41" s="220" t="s">
        <v>73</v>
      </c>
      <c r="E41" s="199" t="s">
        <v>405</v>
      </c>
      <c r="F41" s="205">
        <v>38307.96</v>
      </c>
      <c r="G41" s="193">
        <v>23540.419000000002</v>
      </c>
      <c r="H41" s="193">
        <f>31606.7-2.646</f>
        <v>31604.054</v>
      </c>
      <c r="I41" s="193">
        <v>32934.199999999997</v>
      </c>
      <c r="J41" s="193">
        <v>34119.9</v>
      </c>
      <c r="K41" s="193">
        <v>0</v>
      </c>
    </row>
    <row r="42" spans="1:12" ht="24" x14ac:dyDescent="0.2">
      <c r="A42" s="24" t="s">
        <v>79</v>
      </c>
      <c r="B42" s="200"/>
      <c r="C42" s="218"/>
      <c r="D42" s="221"/>
      <c r="E42" s="200"/>
      <c r="F42" s="206"/>
      <c r="G42" s="194"/>
      <c r="H42" s="194"/>
      <c r="I42" s="194"/>
      <c r="J42" s="194"/>
      <c r="K42" s="194"/>
    </row>
    <row r="43" spans="1:12" ht="48" x14ac:dyDescent="0.2">
      <c r="A43" s="24" t="s">
        <v>82</v>
      </c>
      <c r="B43" s="200"/>
      <c r="C43" s="218"/>
      <c r="D43" s="221"/>
      <c r="E43" s="200"/>
      <c r="F43" s="206"/>
      <c r="G43" s="194"/>
      <c r="H43" s="194"/>
      <c r="I43" s="194"/>
      <c r="J43" s="194"/>
      <c r="K43" s="194"/>
      <c r="L43" s="158"/>
    </row>
    <row r="44" spans="1:12" ht="24" x14ac:dyDescent="0.2">
      <c r="A44" s="24" t="s">
        <v>85</v>
      </c>
      <c r="B44" s="201"/>
      <c r="C44" s="219"/>
      <c r="D44" s="222"/>
      <c r="E44" s="201"/>
      <c r="F44" s="207"/>
      <c r="G44" s="195"/>
      <c r="H44" s="195"/>
      <c r="I44" s="195"/>
      <c r="J44" s="195"/>
      <c r="K44" s="195"/>
      <c r="L44" s="158"/>
    </row>
    <row r="45" spans="1:12" ht="36" x14ac:dyDescent="0.2">
      <c r="A45" s="21" t="s">
        <v>88</v>
      </c>
      <c r="B45" s="21"/>
      <c r="C45" s="28"/>
      <c r="D45" s="28"/>
      <c r="E45" s="28"/>
      <c r="F45" s="103"/>
      <c r="G45" s="172"/>
      <c r="H45" s="174"/>
      <c r="I45" s="173"/>
      <c r="J45" s="173"/>
      <c r="K45" s="173"/>
    </row>
    <row r="46" spans="1:12" ht="60" x14ac:dyDescent="0.2">
      <c r="A46" s="24" t="s">
        <v>90</v>
      </c>
      <c r="B46" s="199" t="s">
        <v>442</v>
      </c>
      <c r="C46" s="199" t="s">
        <v>628</v>
      </c>
      <c r="D46" s="220" t="s">
        <v>88</v>
      </c>
      <c r="E46" s="199" t="s">
        <v>405</v>
      </c>
      <c r="F46" s="205">
        <v>3.206</v>
      </c>
      <c r="G46" s="193">
        <v>2.6459999999999999</v>
      </c>
      <c r="H46" s="193">
        <v>2.6459999999999999</v>
      </c>
      <c r="I46" s="193">
        <v>0</v>
      </c>
      <c r="J46" s="193">
        <v>0</v>
      </c>
      <c r="K46" s="193">
        <v>0</v>
      </c>
    </row>
    <row r="47" spans="1:12" ht="36" x14ac:dyDescent="0.2">
      <c r="A47" s="24" t="s">
        <v>93</v>
      </c>
      <c r="B47" s="200"/>
      <c r="C47" s="200"/>
      <c r="D47" s="221"/>
      <c r="E47" s="200"/>
      <c r="F47" s="206"/>
      <c r="G47" s="194"/>
      <c r="H47" s="194"/>
      <c r="I47" s="194"/>
      <c r="J47" s="194"/>
      <c r="K47" s="194"/>
    </row>
    <row r="48" spans="1:12" ht="60" hidden="1" x14ac:dyDescent="0.2">
      <c r="A48" s="132" t="s">
        <v>96</v>
      </c>
      <c r="B48" s="201"/>
      <c r="C48" s="201"/>
      <c r="D48" s="222"/>
      <c r="E48" s="201"/>
      <c r="F48" s="207"/>
      <c r="G48" s="195"/>
      <c r="H48" s="195"/>
      <c r="I48" s="195"/>
      <c r="J48" s="195"/>
      <c r="K48" s="195"/>
    </row>
    <row r="49" spans="1:13" ht="21" customHeight="1" x14ac:dyDescent="0.2">
      <c r="A49" s="21" t="s">
        <v>97</v>
      </c>
      <c r="B49" s="21"/>
      <c r="C49" s="28"/>
      <c r="D49" s="28"/>
      <c r="E49" s="28"/>
      <c r="F49" s="103"/>
      <c r="G49" s="172"/>
      <c r="H49" s="173"/>
      <c r="I49" s="173"/>
      <c r="J49" s="173"/>
      <c r="K49" s="173"/>
    </row>
    <row r="50" spans="1:13" ht="36" x14ac:dyDescent="0.2">
      <c r="A50" s="24" t="s">
        <v>101</v>
      </c>
      <c r="B50" s="199" t="s">
        <v>443</v>
      </c>
      <c r="C50" s="199" t="s">
        <v>629</v>
      </c>
      <c r="D50" s="220" t="s">
        <v>97</v>
      </c>
      <c r="E50" s="199" t="s">
        <v>405</v>
      </c>
      <c r="F50" s="205">
        <v>813.99599999999998</v>
      </c>
      <c r="G50" s="193">
        <v>299.07600000000002</v>
      </c>
      <c r="H50" s="193">
        <v>297</v>
      </c>
      <c r="I50" s="193">
        <v>282.89999999999998</v>
      </c>
      <c r="J50" s="193">
        <v>282.89999999999998</v>
      </c>
      <c r="K50" s="193">
        <v>282.89999999999998</v>
      </c>
    </row>
    <row r="51" spans="1:13" ht="24" x14ac:dyDescent="0.2">
      <c r="A51" s="24" t="s">
        <v>104</v>
      </c>
      <c r="B51" s="200"/>
      <c r="C51" s="200"/>
      <c r="D51" s="221"/>
      <c r="E51" s="200"/>
      <c r="F51" s="206"/>
      <c r="G51" s="194"/>
      <c r="H51" s="194"/>
      <c r="I51" s="194"/>
      <c r="J51" s="194"/>
      <c r="K51" s="194"/>
    </row>
    <row r="52" spans="1:13" ht="36" x14ac:dyDescent="0.2">
      <c r="A52" s="24" t="s">
        <v>107</v>
      </c>
      <c r="B52" s="201"/>
      <c r="C52" s="201"/>
      <c r="D52" s="222"/>
      <c r="E52" s="201"/>
      <c r="F52" s="207"/>
      <c r="G52" s="195"/>
      <c r="H52" s="195"/>
      <c r="I52" s="195"/>
      <c r="J52" s="195"/>
      <c r="K52" s="195"/>
    </row>
    <row r="53" spans="1:13" s="39" customFormat="1" ht="24" hidden="1" x14ac:dyDescent="0.2">
      <c r="A53" s="131" t="s">
        <v>110</v>
      </c>
      <c r="B53" s="35"/>
      <c r="C53" s="38"/>
      <c r="D53" s="38"/>
      <c r="E53" s="38"/>
      <c r="F53" s="103"/>
      <c r="G53" s="172"/>
      <c r="H53" s="174"/>
      <c r="I53" s="173"/>
      <c r="J53" s="173"/>
      <c r="K53" s="173"/>
      <c r="L53" s="156"/>
      <c r="M53" s="162"/>
    </row>
    <row r="54" spans="1:13" ht="48" hidden="1" x14ac:dyDescent="0.2">
      <c r="A54" s="132" t="s">
        <v>111</v>
      </c>
      <c r="B54" s="29" t="s">
        <v>443</v>
      </c>
      <c r="C54" s="29" t="s">
        <v>630</v>
      </c>
      <c r="D54" s="24" t="s">
        <v>110</v>
      </c>
      <c r="E54" s="29" t="s">
        <v>405</v>
      </c>
      <c r="F54" s="53">
        <v>0</v>
      </c>
      <c r="G54" s="170">
        <v>0</v>
      </c>
      <c r="H54" s="170">
        <v>0</v>
      </c>
      <c r="I54" s="170">
        <v>0</v>
      </c>
      <c r="J54" s="170">
        <v>0</v>
      </c>
      <c r="K54" s="170">
        <v>0</v>
      </c>
    </row>
    <row r="55" spans="1:13" s="27" customFormat="1" ht="36" x14ac:dyDescent="0.2">
      <c r="A55" s="40" t="s">
        <v>114</v>
      </c>
      <c r="B55" s="40"/>
      <c r="C55" s="41"/>
      <c r="D55" s="41"/>
      <c r="E55" s="41"/>
      <c r="F55" s="103"/>
      <c r="G55" s="172"/>
      <c r="H55" s="173"/>
      <c r="I55" s="173"/>
      <c r="J55" s="173"/>
      <c r="K55" s="173"/>
      <c r="L55" s="153"/>
      <c r="M55" s="159"/>
    </row>
    <row r="56" spans="1:13" ht="60" x14ac:dyDescent="0.2">
      <c r="A56" s="24" t="s">
        <v>116</v>
      </c>
      <c r="B56" s="199" t="s">
        <v>442</v>
      </c>
      <c r="C56" s="199" t="s">
        <v>631</v>
      </c>
      <c r="D56" s="220" t="s">
        <v>114</v>
      </c>
      <c r="E56" s="199" t="s">
        <v>405</v>
      </c>
      <c r="F56" s="205">
        <v>31.62</v>
      </c>
      <c r="G56" s="193">
        <v>56.152999999999999</v>
      </c>
      <c r="H56" s="193">
        <v>62.6</v>
      </c>
      <c r="I56" s="193">
        <v>63</v>
      </c>
      <c r="J56" s="193">
        <v>63</v>
      </c>
      <c r="K56" s="193">
        <v>63</v>
      </c>
    </row>
    <row r="57" spans="1:13" ht="48" x14ac:dyDescent="0.2">
      <c r="A57" s="52" t="s">
        <v>119</v>
      </c>
      <c r="B57" s="201"/>
      <c r="C57" s="201"/>
      <c r="D57" s="222"/>
      <c r="E57" s="201"/>
      <c r="F57" s="207"/>
      <c r="G57" s="195"/>
      <c r="H57" s="195"/>
      <c r="I57" s="195"/>
      <c r="J57" s="195"/>
      <c r="K57" s="195"/>
    </row>
    <row r="58" spans="1:13" s="27" customFormat="1" ht="39" customHeight="1" x14ac:dyDescent="0.2">
      <c r="A58" s="40" t="s">
        <v>124</v>
      </c>
      <c r="B58" s="40"/>
      <c r="C58" s="42"/>
      <c r="D58" s="41"/>
      <c r="E58" s="41"/>
      <c r="F58" s="103"/>
      <c r="G58" s="172"/>
      <c r="H58" s="173"/>
      <c r="I58" s="173"/>
      <c r="J58" s="173"/>
      <c r="K58" s="173"/>
      <c r="L58" s="153"/>
      <c r="M58" s="159"/>
    </row>
    <row r="59" spans="1:13" ht="48" x14ac:dyDescent="0.2">
      <c r="A59" s="24"/>
      <c r="B59" s="24"/>
      <c r="C59" s="29" t="s">
        <v>632</v>
      </c>
      <c r="D59" s="24" t="s">
        <v>124</v>
      </c>
      <c r="E59" s="29"/>
      <c r="F59" s="101">
        <f>10100232.74/1000</f>
        <v>10100.232739999999</v>
      </c>
      <c r="G59" s="170">
        <f>G60</f>
        <v>7108.1480000000001</v>
      </c>
      <c r="H59" s="170">
        <f t="shared" ref="H59:K59" si="0">H60</f>
        <v>9722.2000000000007</v>
      </c>
      <c r="I59" s="170">
        <f t="shared" si="0"/>
        <v>10130.5</v>
      </c>
      <c r="J59" s="170">
        <f t="shared" si="0"/>
        <v>10495.2</v>
      </c>
      <c r="K59" s="170">
        <f t="shared" si="0"/>
        <v>10915</v>
      </c>
    </row>
    <row r="60" spans="1:13" ht="72" x14ac:dyDescent="0.2">
      <c r="A60" s="23" t="s">
        <v>127</v>
      </c>
      <c r="B60" s="31">
        <v>100</v>
      </c>
      <c r="C60" s="29" t="s">
        <v>633</v>
      </c>
      <c r="D60" s="24" t="s">
        <v>124</v>
      </c>
      <c r="E60" s="29" t="s">
        <v>405</v>
      </c>
      <c r="F60" s="101">
        <f>10100232.74/1000</f>
        <v>10100.232739999999</v>
      </c>
      <c r="G60" s="170">
        <v>7108.1480000000001</v>
      </c>
      <c r="H60" s="170">
        <v>9722.2000000000007</v>
      </c>
      <c r="I60" s="170">
        <v>10130.5</v>
      </c>
      <c r="J60" s="170">
        <v>10495.2</v>
      </c>
      <c r="K60" s="170">
        <v>10915</v>
      </c>
    </row>
    <row r="61" spans="1:13" s="27" customFormat="1" ht="36" x14ac:dyDescent="0.2">
      <c r="A61" s="40" t="s">
        <v>130</v>
      </c>
      <c r="B61" s="40"/>
      <c r="C61" s="41"/>
      <c r="D61" s="41"/>
      <c r="E61" s="41"/>
      <c r="F61" s="100"/>
      <c r="G61" s="172"/>
      <c r="H61" s="173"/>
      <c r="I61" s="171"/>
      <c r="J61" s="171"/>
      <c r="K61" s="171"/>
      <c r="L61" s="153"/>
      <c r="M61" s="159"/>
    </row>
    <row r="62" spans="1:13" ht="74.25" hidden="1" customHeight="1" x14ac:dyDescent="0.2">
      <c r="A62" s="21"/>
      <c r="B62" s="21"/>
      <c r="C62" s="46" t="s">
        <v>634</v>
      </c>
      <c r="D62" s="24" t="s">
        <v>132</v>
      </c>
      <c r="E62" s="28"/>
      <c r="F62" s="101">
        <f>1754750/1000</f>
        <v>1754.75</v>
      </c>
      <c r="G62" s="171">
        <v>0</v>
      </c>
      <c r="H62" s="171">
        <v>0</v>
      </c>
      <c r="I62" s="171">
        <v>0</v>
      </c>
      <c r="J62" s="171">
        <v>0</v>
      </c>
      <c r="K62" s="171">
        <v>0</v>
      </c>
    </row>
    <row r="63" spans="1:13" ht="96" hidden="1" x14ac:dyDescent="0.2">
      <c r="A63" s="23" t="s">
        <v>133</v>
      </c>
      <c r="B63" s="31">
        <v>100</v>
      </c>
      <c r="C63" s="46" t="s">
        <v>635</v>
      </c>
      <c r="D63" s="24" t="s">
        <v>132</v>
      </c>
      <c r="E63" s="29" t="s">
        <v>449</v>
      </c>
      <c r="F63" s="101">
        <f>1754750/1000</f>
        <v>1754.75</v>
      </c>
      <c r="G63" s="171">
        <v>0</v>
      </c>
      <c r="H63" s="171">
        <v>0</v>
      </c>
      <c r="I63" s="171">
        <v>0</v>
      </c>
      <c r="J63" s="171">
        <v>0</v>
      </c>
      <c r="K63" s="171">
        <v>0</v>
      </c>
    </row>
    <row r="64" spans="1:13" ht="36" x14ac:dyDescent="0.2">
      <c r="A64" s="24"/>
      <c r="B64" s="24"/>
      <c r="C64" s="29" t="s">
        <v>636</v>
      </c>
      <c r="D64" s="24" t="s">
        <v>134</v>
      </c>
      <c r="E64" s="29"/>
      <c r="F64" s="101">
        <f>40000/1000</f>
        <v>40</v>
      </c>
      <c r="G64" s="170">
        <f>G65</f>
        <v>0</v>
      </c>
      <c r="H64" s="170">
        <f t="shared" ref="H64:K64" si="1">H65</f>
        <v>0</v>
      </c>
      <c r="I64" s="170">
        <f t="shared" si="1"/>
        <v>20</v>
      </c>
      <c r="J64" s="170">
        <f t="shared" si="1"/>
        <v>20</v>
      </c>
      <c r="K64" s="170">
        <f t="shared" si="1"/>
        <v>20</v>
      </c>
    </row>
    <row r="65" spans="1:13" ht="108" x14ac:dyDescent="0.2">
      <c r="A65" s="24" t="s">
        <v>137</v>
      </c>
      <c r="B65" s="29" t="s">
        <v>442</v>
      </c>
      <c r="C65" s="29" t="s">
        <v>637</v>
      </c>
      <c r="D65" s="24" t="s">
        <v>134</v>
      </c>
      <c r="E65" s="46" t="s">
        <v>810</v>
      </c>
      <c r="F65" s="101">
        <f>40000/1000</f>
        <v>40</v>
      </c>
      <c r="G65" s="170">
        <v>0</v>
      </c>
      <c r="H65" s="170">
        <v>0</v>
      </c>
      <c r="I65" s="170">
        <v>20</v>
      </c>
      <c r="J65" s="170">
        <v>20</v>
      </c>
      <c r="K65" s="170">
        <v>20</v>
      </c>
    </row>
    <row r="66" spans="1:13" s="27" customFormat="1" ht="24" x14ac:dyDescent="0.2">
      <c r="A66" s="40" t="s">
        <v>836</v>
      </c>
      <c r="B66" s="40"/>
      <c r="C66" s="41"/>
      <c r="D66" s="41"/>
      <c r="E66" s="41"/>
      <c r="F66" s="103"/>
      <c r="G66" s="172"/>
      <c r="H66" s="173"/>
      <c r="I66" s="173"/>
      <c r="J66" s="173"/>
      <c r="K66" s="173"/>
      <c r="L66" s="153"/>
      <c r="M66" s="159"/>
    </row>
    <row r="67" spans="1:13" ht="60" hidden="1" x14ac:dyDescent="0.2">
      <c r="A67" s="24" t="s">
        <v>141</v>
      </c>
      <c r="B67" s="199" t="s">
        <v>442</v>
      </c>
      <c r="C67" s="199" t="s">
        <v>638</v>
      </c>
      <c r="D67" s="220" t="s">
        <v>140</v>
      </c>
      <c r="E67" s="199" t="s">
        <v>405</v>
      </c>
      <c r="F67" s="227">
        <f>16.68/1000</f>
        <v>1.668E-2</v>
      </c>
      <c r="G67" s="223">
        <v>1.2999999999999999E-2</v>
      </c>
      <c r="H67" s="223">
        <v>0</v>
      </c>
      <c r="I67" s="223">
        <v>0</v>
      </c>
      <c r="J67" s="223">
        <v>0</v>
      </c>
      <c r="K67" s="223">
        <v>0</v>
      </c>
    </row>
    <row r="68" spans="1:13" ht="54" hidden="1" customHeight="1" x14ac:dyDescent="0.2">
      <c r="A68" s="24" t="s">
        <v>468</v>
      </c>
      <c r="B68" s="201"/>
      <c r="C68" s="201"/>
      <c r="D68" s="222"/>
      <c r="E68" s="201"/>
      <c r="F68" s="228"/>
      <c r="G68" s="225"/>
      <c r="H68" s="225"/>
      <c r="I68" s="225"/>
      <c r="J68" s="225"/>
      <c r="K68" s="225"/>
    </row>
    <row r="69" spans="1:13" ht="36" hidden="1" x14ac:dyDescent="0.2">
      <c r="A69" s="24" t="s">
        <v>143</v>
      </c>
      <c r="B69" s="29" t="s">
        <v>443</v>
      </c>
      <c r="C69" s="29" t="s">
        <v>639</v>
      </c>
      <c r="D69" s="24" t="s">
        <v>142</v>
      </c>
      <c r="E69" s="29" t="s">
        <v>405</v>
      </c>
      <c r="F69" s="101">
        <f>29.79/1000</f>
        <v>2.9790000000000001E-2</v>
      </c>
      <c r="G69" s="171">
        <v>0</v>
      </c>
      <c r="H69" s="171">
        <v>0</v>
      </c>
      <c r="I69" s="171">
        <v>0</v>
      </c>
      <c r="J69" s="171">
        <v>0</v>
      </c>
      <c r="K69" s="171">
        <v>0</v>
      </c>
    </row>
    <row r="70" spans="1:13" ht="44.25" customHeight="1" x14ac:dyDescent="0.2">
      <c r="A70" s="23" t="s">
        <v>745</v>
      </c>
      <c r="B70" s="98" t="s">
        <v>799</v>
      </c>
      <c r="C70" s="29" t="s">
        <v>797</v>
      </c>
      <c r="D70" s="24" t="s">
        <v>743</v>
      </c>
      <c r="E70" s="29" t="s">
        <v>405</v>
      </c>
      <c r="F70" s="101">
        <f>0.22/1000</f>
        <v>2.2000000000000001E-4</v>
      </c>
      <c r="G70" s="170">
        <v>0.19500000000000001</v>
      </c>
      <c r="H70" s="170">
        <v>0</v>
      </c>
      <c r="I70" s="170">
        <v>0</v>
      </c>
      <c r="J70" s="170">
        <v>0</v>
      </c>
      <c r="K70" s="170">
        <v>0</v>
      </c>
    </row>
    <row r="71" spans="1:13" ht="24" x14ac:dyDescent="0.2">
      <c r="A71" s="21" t="s">
        <v>146</v>
      </c>
      <c r="B71" s="21"/>
      <c r="C71" s="28"/>
      <c r="D71" s="28"/>
      <c r="E71" s="28"/>
      <c r="F71" s="103"/>
      <c r="G71" s="172"/>
      <c r="H71" s="173"/>
      <c r="I71" s="173"/>
      <c r="J71" s="173"/>
      <c r="K71" s="173"/>
    </row>
    <row r="72" spans="1:13" ht="36" x14ac:dyDescent="0.2">
      <c r="A72" s="21"/>
      <c r="B72" s="21"/>
      <c r="C72" s="29" t="s">
        <v>640</v>
      </c>
      <c r="D72" s="24" t="s">
        <v>148</v>
      </c>
      <c r="E72" s="28"/>
      <c r="F72" s="101">
        <f>1127.05/1000</f>
        <v>1.1270499999999999</v>
      </c>
      <c r="G72" s="170">
        <f>G73</f>
        <v>0</v>
      </c>
      <c r="H72" s="170">
        <f t="shared" ref="H72:K72" si="2">H73</f>
        <v>8.1999999999999993</v>
      </c>
      <c r="I72" s="170">
        <f t="shared" si="2"/>
        <v>3.7747899999999999</v>
      </c>
      <c r="J72" s="170">
        <f t="shared" si="2"/>
        <v>0</v>
      </c>
      <c r="K72" s="170">
        <f t="shared" si="2"/>
        <v>0</v>
      </c>
    </row>
    <row r="73" spans="1:13" ht="36" x14ac:dyDescent="0.2">
      <c r="A73" s="24" t="s">
        <v>148</v>
      </c>
      <c r="B73" s="29" t="s">
        <v>442</v>
      </c>
      <c r="C73" s="29" t="s">
        <v>641</v>
      </c>
      <c r="D73" s="24" t="s">
        <v>148</v>
      </c>
      <c r="E73" s="29" t="s">
        <v>2</v>
      </c>
      <c r="F73" s="101">
        <f>1127.05/1000</f>
        <v>1.1270499999999999</v>
      </c>
      <c r="G73" s="170">
        <v>0</v>
      </c>
      <c r="H73" s="170">
        <v>8.1999999999999993</v>
      </c>
      <c r="I73" s="170">
        <v>3.7747899999999999</v>
      </c>
      <c r="J73" s="170">
        <v>0</v>
      </c>
      <c r="K73" s="170">
        <v>0</v>
      </c>
    </row>
    <row r="74" spans="1:13" s="27" customFormat="1" ht="60" x14ac:dyDescent="0.2">
      <c r="A74" s="40" t="s">
        <v>153</v>
      </c>
      <c r="B74" s="40"/>
      <c r="C74" s="41"/>
      <c r="D74" s="41"/>
      <c r="E74" s="41"/>
      <c r="F74" s="103"/>
      <c r="G74" s="172"/>
      <c r="H74" s="173"/>
      <c r="I74" s="173"/>
      <c r="J74" s="173"/>
      <c r="K74" s="173"/>
      <c r="L74" s="153">
        <f>10850.5</f>
        <v>10850.5</v>
      </c>
      <c r="M74" s="159"/>
    </row>
    <row r="75" spans="1:13" s="27" customFormat="1" ht="95.25" customHeight="1" x14ac:dyDescent="0.2">
      <c r="A75" s="40"/>
      <c r="B75" s="40"/>
      <c r="C75" s="29" t="s">
        <v>642</v>
      </c>
      <c r="D75" s="23" t="s">
        <v>748</v>
      </c>
      <c r="E75" s="41"/>
      <c r="F75" s="101">
        <v>0</v>
      </c>
      <c r="G75" s="170">
        <f>G76</f>
        <v>3301.2930000000001</v>
      </c>
      <c r="H75" s="170">
        <f t="shared" ref="H75:K75" si="3">H76</f>
        <v>4355</v>
      </c>
      <c r="I75" s="170">
        <f t="shared" si="3"/>
        <v>4165</v>
      </c>
      <c r="J75" s="170">
        <f t="shared" si="3"/>
        <v>4058</v>
      </c>
      <c r="K75" s="170">
        <f t="shared" si="3"/>
        <v>3767</v>
      </c>
      <c r="L75" s="153">
        <f>L74-I71</f>
        <v>10850.5</v>
      </c>
      <c r="M75" s="159"/>
    </row>
    <row r="76" spans="1:13" s="27" customFormat="1" ht="115.5" customHeight="1" x14ac:dyDescent="0.2">
      <c r="A76" s="23" t="s">
        <v>748</v>
      </c>
      <c r="B76" s="31" t="s">
        <v>442</v>
      </c>
      <c r="C76" s="42" t="s">
        <v>643</v>
      </c>
      <c r="D76" s="23" t="s">
        <v>748</v>
      </c>
      <c r="E76" s="46" t="s">
        <v>810</v>
      </c>
      <c r="F76" s="101">
        <v>0</v>
      </c>
      <c r="G76" s="170">
        <v>3301.2930000000001</v>
      </c>
      <c r="H76" s="170">
        <v>4355</v>
      </c>
      <c r="I76" s="170">
        <v>4165</v>
      </c>
      <c r="J76" s="170">
        <v>4058</v>
      </c>
      <c r="K76" s="170">
        <v>3767</v>
      </c>
      <c r="L76" s="153"/>
      <c r="M76" s="159"/>
    </row>
    <row r="77" spans="1:13" ht="84" x14ac:dyDescent="0.2">
      <c r="A77" s="22"/>
      <c r="B77" s="22"/>
      <c r="C77" s="29" t="s">
        <v>645</v>
      </c>
      <c r="D77" s="23" t="s">
        <v>155</v>
      </c>
      <c r="E77" s="29"/>
      <c r="F77" s="101">
        <f>5921592.07/1000</f>
        <v>5921.5920700000006</v>
      </c>
      <c r="G77" s="170">
        <v>8006.1980000000003</v>
      </c>
      <c r="H77" s="170">
        <f>H78+H79+H80</f>
        <v>9431.9</v>
      </c>
      <c r="I77" s="170">
        <f>I78+I79+I80</f>
        <v>5910.7000000000007</v>
      </c>
      <c r="J77" s="170">
        <f t="shared" ref="J77:K77" si="4">J78+J79+J80</f>
        <v>5867.7000000000007</v>
      </c>
      <c r="K77" s="170">
        <f t="shared" si="4"/>
        <v>5816.7</v>
      </c>
    </row>
    <row r="78" spans="1:13" ht="108" x14ac:dyDescent="0.2">
      <c r="A78" s="23" t="s">
        <v>155</v>
      </c>
      <c r="B78" s="31">
        <v>50</v>
      </c>
      <c r="C78" s="42" t="s">
        <v>644</v>
      </c>
      <c r="D78" s="43" t="s">
        <v>155</v>
      </c>
      <c r="E78" s="46" t="s">
        <v>810</v>
      </c>
      <c r="F78" s="101">
        <f>3604235.21/1000</f>
        <v>3604.2352099999998</v>
      </c>
      <c r="G78" s="170">
        <v>1247.3620000000001</v>
      </c>
      <c r="H78" s="170">
        <v>1626.5</v>
      </c>
      <c r="I78" s="170">
        <v>0</v>
      </c>
      <c r="J78" s="170">
        <v>0</v>
      </c>
      <c r="K78" s="170">
        <v>0</v>
      </c>
    </row>
    <row r="79" spans="1:13" ht="84" x14ac:dyDescent="0.2">
      <c r="A79" s="23" t="s">
        <v>155</v>
      </c>
      <c r="B79" s="31">
        <v>50</v>
      </c>
      <c r="C79" s="42" t="s">
        <v>646</v>
      </c>
      <c r="D79" s="43" t="s">
        <v>155</v>
      </c>
      <c r="E79" s="48" t="s">
        <v>447</v>
      </c>
      <c r="F79" s="101">
        <f>1413123.56/1000</f>
        <v>1413.12356</v>
      </c>
      <c r="G79" s="170">
        <v>1876.9359999999999</v>
      </c>
      <c r="H79" s="170">
        <v>2641.7</v>
      </c>
      <c r="I79" s="170">
        <v>4161.6000000000004</v>
      </c>
      <c r="J79" s="170">
        <v>4118.6000000000004</v>
      </c>
      <c r="K79" s="170">
        <v>4067.6</v>
      </c>
    </row>
    <row r="80" spans="1:13" ht="84" x14ac:dyDescent="0.2">
      <c r="A80" s="23" t="s">
        <v>155</v>
      </c>
      <c r="B80" s="31">
        <v>50</v>
      </c>
      <c r="C80" s="42" t="s">
        <v>647</v>
      </c>
      <c r="D80" s="43" t="s">
        <v>155</v>
      </c>
      <c r="E80" s="48" t="s">
        <v>800</v>
      </c>
      <c r="F80" s="101">
        <f>904233.3/1000</f>
        <v>904.2333000000001</v>
      </c>
      <c r="G80" s="170">
        <v>4881.8999999999996</v>
      </c>
      <c r="H80" s="170">
        <v>5163.7</v>
      </c>
      <c r="I80" s="170">
        <v>1749.1</v>
      </c>
      <c r="J80" s="170">
        <v>1749.1</v>
      </c>
      <c r="K80" s="170">
        <v>1749.1</v>
      </c>
    </row>
    <row r="81" spans="1:14" ht="76.5" customHeight="1" x14ac:dyDescent="0.2">
      <c r="A81" s="44" t="s">
        <v>471</v>
      </c>
      <c r="B81" s="31"/>
      <c r="C81" s="42"/>
      <c r="D81" s="43"/>
      <c r="E81" s="42"/>
      <c r="F81" s="101"/>
      <c r="G81" s="171"/>
      <c r="H81" s="173"/>
      <c r="I81" s="173"/>
      <c r="J81" s="173"/>
      <c r="K81" s="173"/>
    </row>
    <row r="82" spans="1:14" ht="78.75" customHeight="1" x14ac:dyDescent="0.2">
      <c r="A82" s="23"/>
      <c r="B82" s="31"/>
      <c r="C82" s="42" t="s">
        <v>648</v>
      </c>
      <c r="D82" s="23" t="s">
        <v>473</v>
      </c>
      <c r="E82" s="42"/>
      <c r="F82" s="101">
        <v>0</v>
      </c>
      <c r="G82" s="170">
        <f>G83</f>
        <v>467.57400000000001</v>
      </c>
      <c r="H82" s="170">
        <f t="shared" ref="H82:K82" si="5">H83</f>
        <v>794</v>
      </c>
      <c r="I82" s="170">
        <f t="shared" si="5"/>
        <v>641</v>
      </c>
      <c r="J82" s="170">
        <f t="shared" si="5"/>
        <v>562</v>
      </c>
      <c r="K82" s="170">
        <f t="shared" si="5"/>
        <v>548</v>
      </c>
    </row>
    <row r="83" spans="1:14" ht="116.25" customHeight="1" x14ac:dyDescent="0.2">
      <c r="A83" s="23" t="s">
        <v>473</v>
      </c>
      <c r="B83" s="31" t="s">
        <v>442</v>
      </c>
      <c r="C83" s="42" t="s">
        <v>649</v>
      </c>
      <c r="D83" s="23" t="s">
        <v>473</v>
      </c>
      <c r="E83" s="46" t="s">
        <v>810</v>
      </c>
      <c r="F83" s="101">
        <v>0</v>
      </c>
      <c r="G83" s="170">
        <v>467.57400000000001</v>
      </c>
      <c r="H83" s="170">
        <v>794</v>
      </c>
      <c r="I83" s="170">
        <v>641</v>
      </c>
      <c r="J83" s="170">
        <v>562</v>
      </c>
      <c r="K83" s="170">
        <v>548</v>
      </c>
    </row>
    <row r="84" spans="1:14" s="37" customFormat="1" ht="72" x14ac:dyDescent="0.2">
      <c r="A84" s="44" t="s">
        <v>160</v>
      </c>
      <c r="B84" s="44"/>
      <c r="C84" s="38"/>
      <c r="D84" s="36"/>
      <c r="E84" s="36"/>
      <c r="F84" s="103"/>
      <c r="G84" s="172"/>
      <c r="H84" s="173"/>
      <c r="I84" s="173"/>
      <c r="J84" s="173"/>
      <c r="K84" s="173"/>
      <c r="L84" s="157"/>
      <c r="M84" s="163"/>
    </row>
    <row r="85" spans="1:14" ht="72" x14ac:dyDescent="0.2">
      <c r="A85" s="21"/>
      <c r="B85" s="21"/>
      <c r="C85" s="29" t="s">
        <v>650</v>
      </c>
      <c r="D85" s="24" t="s">
        <v>162</v>
      </c>
      <c r="E85" s="28"/>
      <c r="F85" s="101">
        <f>123846.48/1000</f>
        <v>123.84648</v>
      </c>
      <c r="G85" s="170">
        <f>G86</f>
        <v>18.327000000000002</v>
      </c>
      <c r="H85" s="170">
        <f t="shared" ref="H85:K85" si="6">H86</f>
        <v>22</v>
      </c>
      <c r="I85" s="170">
        <f t="shared" si="6"/>
        <v>0</v>
      </c>
      <c r="J85" s="170">
        <f t="shared" si="6"/>
        <v>0</v>
      </c>
      <c r="K85" s="170">
        <f t="shared" si="6"/>
        <v>0</v>
      </c>
    </row>
    <row r="86" spans="1:14" ht="111" customHeight="1" x14ac:dyDescent="0.2">
      <c r="A86" s="24" t="s">
        <v>162</v>
      </c>
      <c r="B86" s="29" t="s">
        <v>442</v>
      </c>
      <c r="C86" s="29" t="s">
        <v>651</v>
      </c>
      <c r="D86" s="24" t="s">
        <v>162</v>
      </c>
      <c r="E86" s="46" t="s">
        <v>810</v>
      </c>
      <c r="F86" s="101">
        <f>123846.48/1000</f>
        <v>123.84648</v>
      </c>
      <c r="G86" s="170">
        <v>18.327000000000002</v>
      </c>
      <c r="H86" s="170">
        <v>22</v>
      </c>
      <c r="I86" s="170">
        <v>0</v>
      </c>
      <c r="J86" s="170">
        <v>0</v>
      </c>
      <c r="K86" s="170">
        <v>0</v>
      </c>
    </row>
    <row r="87" spans="1:14" ht="36.75" hidden="1" customHeight="1" x14ac:dyDescent="0.2">
      <c r="A87" s="44" t="s">
        <v>475</v>
      </c>
      <c r="B87" s="29"/>
      <c r="C87" s="29"/>
      <c r="D87" s="24"/>
      <c r="E87" s="29"/>
      <c r="F87" s="101"/>
      <c r="G87" s="172"/>
      <c r="H87" s="173"/>
      <c r="I87" s="173"/>
      <c r="J87" s="173"/>
      <c r="K87" s="173"/>
    </row>
    <row r="88" spans="1:14" ht="112.5" hidden="1" customHeight="1" x14ac:dyDescent="0.2">
      <c r="A88" s="24"/>
      <c r="B88" s="29"/>
      <c r="C88" s="29" t="s">
        <v>652</v>
      </c>
      <c r="D88" s="23" t="s">
        <v>476</v>
      </c>
      <c r="E88" s="29"/>
      <c r="F88" s="101">
        <v>0</v>
      </c>
      <c r="G88" s="171">
        <v>0</v>
      </c>
      <c r="H88" s="171">
        <v>0</v>
      </c>
      <c r="I88" s="171">
        <v>0</v>
      </c>
      <c r="J88" s="171">
        <v>0</v>
      </c>
      <c r="K88" s="171">
        <v>0</v>
      </c>
    </row>
    <row r="89" spans="1:14" ht="115.5" hidden="1" customHeight="1" x14ac:dyDescent="0.2">
      <c r="A89" s="23" t="s">
        <v>476</v>
      </c>
      <c r="B89" s="29" t="s">
        <v>442</v>
      </c>
      <c r="C89" s="29" t="s">
        <v>653</v>
      </c>
      <c r="D89" s="23" t="s">
        <v>476</v>
      </c>
      <c r="E89" s="135" t="s">
        <v>446</v>
      </c>
      <c r="F89" s="101">
        <v>0</v>
      </c>
      <c r="G89" s="171">
        <v>0</v>
      </c>
      <c r="H89" s="171">
        <v>0</v>
      </c>
      <c r="I89" s="171">
        <v>0</v>
      </c>
      <c r="J89" s="171">
        <v>0</v>
      </c>
      <c r="K89" s="171">
        <v>0</v>
      </c>
    </row>
    <row r="90" spans="1:14" ht="72" x14ac:dyDescent="0.2">
      <c r="A90" s="44" t="s">
        <v>165</v>
      </c>
      <c r="B90" s="22"/>
      <c r="C90" s="28"/>
      <c r="D90" s="28"/>
      <c r="E90" s="28"/>
      <c r="F90" s="103"/>
      <c r="G90" s="172"/>
      <c r="H90" s="173"/>
      <c r="I90" s="173"/>
      <c r="J90" s="173"/>
      <c r="K90" s="173"/>
    </row>
    <row r="91" spans="1:14" ht="84" x14ac:dyDescent="0.2">
      <c r="A91" s="24"/>
      <c r="B91" s="24"/>
      <c r="C91" s="29" t="s">
        <v>654</v>
      </c>
      <c r="D91" s="24" t="s">
        <v>169</v>
      </c>
      <c r="E91" s="29"/>
      <c r="F91" s="101">
        <f>905651.86/1000</f>
        <v>905.65185999999994</v>
      </c>
      <c r="G91" s="170">
        <f>G92</f>
        <v>761.64099999999996</v>
      </c>
      <c r="H91" s="170">
        <f t="shared" ref="H91:K91" si="7">H92</f>
        <v>940</v>
      </c>
      <c r="I91" s="170">
        <f t="shared" si="7"/>
        <v>1130</v>
      </c>
      <c r="J91" s="170">
        <f t="shared" si="7"/>
        <v>1130</v>
      </c>
      <c r="K91" s="170">
        <f t="shared" si="7"/>
        <v>1130</v>
      </c>
    </row>
    <row r="92" spans="1:14" ht="108" x14ac:dyDescent="0.2">
      <c r="A92" s="24" t="s">
        <v>169</v>
      </c>
      <c r="B92" s="29" t="s">
        <v>442</v>
      </c>
      <c r="C92" s="29" t="s">
        <v>655</v>
      </c>
      <c r="D92" s="24" t="s">
        <v>169</v>
      </c>
      <c r="E92" s="46" t="s">
        <v>810</v>
      </c>
      <c r="F92" s="101">
        <f>905651.86/1000</f>
        <v>905.65185999999994</v>
      </c>
      <c r="G92" s="170">
        <v>761.64099999999996</v>
      </c>
      <c r="H92" s="170">
        <v>940</v>
      </c>
      <c r="I92" s="170">
        <v>1130</v>
      </c>
      <c r="J92" s="170">
        <v>1130</v>
      </c>
      <c r="K92" s="170">
        <v>1130</v>
      </c>
    </row>
    <row r="93" spans="1:14" ht="24" x14ac:dyDescent="0.2">
      <c r="A93" s="21" t="s">
        <v>174</v>
      </c>
      <c r="B93" s="21"/>
      <c r="C93" s="28"/>
      <c r="D93" s="28"/>
      <c r="E93" s="28"/>
      <c r="F93" s="103"/>
      <c r="G93" s="172"/>
      <c r="H93" s="173"/>
      <c r="I93" s="173"/>
      <c r="J93" s="173"/>
      <c r="K93" s="173"/>
    </row>
    <row r="94" spans="1:14" ht="27.75" customHeight="1" x14ac:dyDescent="0.2">
      <c r="A94" s="21"/>
      <c r="B94" s="21"/>
      <c r="C94" s="29" t="s">
        <v>656</v>
      </c>
      <c r="D94" s="24" t="s">
        <v>176</v>
      </c>
      <c r="E94" s="28"/>
      <c r="F94" s="101">
        <f>460392/1000</f>
        <v>460.392</v>
      </c>
      <c r="G94" s="170">
        <f>G95</f>
        <v>161.02600000000001</v>
      </c>
      <c r="H94" s="170">
        <f t="shared" ref="H94:K94" si="8">H95</f>
        <v>179.5</v>
      </c>
      <c r="I94" s="170">
        <f t="shared" si="8"/>
        <v>202.6</v>
      </c>
      <c r="J94" s="170">
        <f t="shared" si="8"/>
        <v>202.6</v>
      </c>
      <c r="K94" s="170">
        <f t="shared" si="8"/>
        <v>202.6</v>
      </c>
      <c r="L94" s="154">
        <f>G95+G99+G101+G103</f>
        <v>644.59</v>
      </c>
      <c r="M94" s="160">
        <v>718.5</v>
      </c>
      <c r="N94" s="166">
        <f>H95+H99+H101+H103</f>
        <v>718.5</v>
      </c>
    </row>
    <row r="95" spans="1:14" ht="60" x14ac:dyDescent="0.2">
      <c r="A95" s="24" t="s">
        <v>179</v>
      </c>
      <c r="B95" s="29" t="s">
        <v>452</v>
      </c>
      <c r="C95" s="29" t="s">
        <v>657</v>
      </c>
      <c r="D95" s="24" t="s">
        <v>176</v>
      </c>
      <c r="E95" s="29" t="s">
        <v>448</v>
      </c>
      <c r="F95" s="101">
        <f>460392/1000</f>
        <v>460.392</v>
      </c>
      <c r="G95" s="170">
        <v>161.02600000000001</v>
      </c>
      <c r="H95" s="170">
        <v>179.5</v>
      </c>
      <c r="I95" s="170">
        <v>202.6</v>
      </c>
      <c r="J95" s="170">
        <v>202.6</v>
      </c>
      <c r="K95" s="170">
        <v>202.6</v>
      </c>
      <c r="L95" s="158">
        <f>G95/L94</f>
        <v>0.24981150809041405</v>
      </c>
      <c r="M95" s="160">
        <f>M94*L95</f>
        <v>179.48956856296249</v>
      </c>
    </row>
    <row r="96" spans="1:14" s="39" customFormat="1" ht="26.25" customHeight="1" x14ac:dyDescent="0.2">
      <c r="A96" s="35"/>
      <c r="B96" s="38"/>
      <c r="C96" s="46" t="s">
        <v>658</v>
      </c>
      <c r="D96" s="52" t="s">
        <v>182</v>
      </c>
      <c r="E96" s="38"/>
      <c r="F96" s="53">
        <f>7915.61/1000</f>
        <v>7.91561</v>
      </c>
      <c r="G96" s="170">
        <v>0</v>
      </c>
      <c r="H96" s="170">
        <v>0</v>
      </c>
      <c r="I96" s="170">
        <v>0</v>
      </c>
      <c r="J96" s="170">
        <v>0</v>
      </c>
      <c r="K96" s="170">
        <v>0</v>
      </c>
      <c r="L96" s="165"/>
      <c r="M96" s="162"/>
    </row>
    <row r="97" spans="1:13" s="39" customFormat="1" ht="60" x14ac:dyDescent="0.2">
      <c r="A97" s="52" t="s">
        <v>183</v>
      </c>
      <c r="B97" s="46" t="s">
        <v>452</v>
      </c>
      <c r="C97" s="46" t="s">
        <v>659</v>
      </c>
      <c r="D97" s="52" t="s">
        <v>182</v>
      </c>
      <c r="E97" s="46" t="s">
        <v>448</v>
      </c>
      <c r="F97" s="53">
        <f>7915.61/1000</f>
        <v>7.91561</v>
      </c>
      <c r="G97" s="170">
        <v>0</v>
      </c>
      <c r="H97" s="170">
        <v>0</v>
      </c>
      <c r="I97" s="170">
        <v>0</v>
      </c>
      <c r="J97" s="170">
        <v>0</v>
      </c>
      <c r="K97" s="170">
        <v>0</v>
      </c>
      <c r="L97" s="165"/>
      <c r="M97" s="162"/>
    </row>
    <row r="98" spans="1:13" ht="24" x14ac:dyDescent="0.2">
      <c r="A98" s="21"/>
      <c r="B98" s="28"/>
      <c r="C98" s="29" t="s">
        <v>660</v>
      </c>
      <c r="D98" s="24" t="s">
        <v>184</v>
      </c>
      <c r="E98" s="28"/>
      <c r="F98" s="101">
        <f>39166.84/1000</f>
        <v>39.166839999999993</v>
      </c>
      <c r="G98" s="170">
        <f>G99</f>
        <v>24.114999999999998</v>
      </c>
      <c r="H98" s="170">
        <f t="shared" ref="H98:K98" si="9">H99</f>
        <v>27</v>
      </c>
      <c r="I98" s="170">
        <f t="shared" si="9"/>
        <v>23.7</v>
      </c>
      <c r="J98" s="170">
        <f t="shared" si="9"/>
        <v>23.7</v>
      </c>
      <c r="K98" s="170">
        <f t="shared" si="9"/>
        <v>23.7</v>
      </c>
      <c r="L98" s="158">
        <f>G98/L94</f>
        <v>3.7411377775019773E-2</v>
      </c>
      <c r="M98" s="160">
        <f>M94*L98</f>
        <v>26.880074931351707</v>
      </c>
    </row>
    <row r="99" spans="1:13" ht="48" x14ac:dyDescent="0.2">
      <c r="A99" s="24" t="s">
        <v>187</v>
      </c>
      <c r="B99" s="29" t="s">
        <v>452</v>
      </c>
      <c r="C99" s="29" t="s">
        <v>661</v>
      </c>
      <c r="D99" s="24" t="s">
        <v>184</v>
      </c>
      <c r="E99" s="29" t="s">
        <v>448</v>
      </c>
      <c r="F99" s="101">
        <f>39166.84/1000</f>
        <v>39.166839999999993</v>
      </c>
      <c r="G99" s="170">
        <v>24.114999999999998</v>
      </c>
      <c r="H99" s="170">
        <v>27</v>
      </c>
      <c r="I99" s="170">
        <v>23.7</v>
      </c>
      <c r="J99" s="170">
        <v>23.7</v>
      </c>
      <c r="K99" s="170">
        <v>23.7</v>
      </c>
      <c r="L99" s="158"/>
    </row>
    <row r="100" spans="1:13" ht="12" x14ac:dyDescent="0.2">
      <c r="A100" s="21"/>
      <c r="B100" s="28"/>
      <c r="C100" s="29" t="s">
        <v>802</v>
      </c>
      <c r="D100" s="24" t="s">
        <v>749</v>
      </c>
      <c r="E100" s="28"/>
      <c r="F100" s="101">
        <f>902758.73/1000</f>
        <v>902.75873000000001</v>
      </c>
      <c r="G100" s="170">
        <f>G101</f>
        <v>381.096</v>
      </c>
      <c r="H100" s="170">
        <f t="shared" ref="H100:K100" si="10">H101</f>
        <v>425</v>
      </c>
      <c r="I100" s="170">
        <f t="shared" si="10"/>
        <v>521.1</v>
      </c>
      <c r="J100" s="170">
        <f t="shared" si="10"/>
        <v>521.1</v>
      </c>
      <c r="K100" s="170">
        <f t="shared" si="10"/>
        <v>521.1</v>
      </c>
      <c r="L100" s="158">
        <f>G100/L94</f>
        <v>0.59122232737088687</v>
      </c>
      <c r="M100" s="160">
        <f>M94*L100</f>
        <v>424.79324221598222</v>
      </c>
    </row>
    <row r="101" spans="1:13" ht="48" x14ac:dyDescent="0.2">
      <c r="A101" s="24" t="s">
        <v>751</v>
      </c>
      <c r="B101" s="29" t="s">
        <v>452</v>
      </c>
      <c r="C101" s="29" t="s">
        <v>803</v>
      </c>
      <c r="D101" s="24" t="s">
        <v>801</v>
      </c>
      <c r="E101" s="29" t="s">
        <v>448</v>
      </c>
      <c r="F101" s="101">
        <f>902758.73/1000</f>
        <v>902.75873000000001</v>
      </c>
      <c r="G101" s="170">
        <v>381.096</v>
      </c>
      <c r="H101" s="170">
        <v>425</v>
      </c>
      <c r="I101" s="170">
        <v>521.1</v>
      </c>
      <c r="J101" s="170">
        <v>521.1</v>
      </c>
      <c r="K101" s="170">
        <v>521.1</v>
      </c>
      <c r="L101" s="158"/>
    </row>
    <row r="102" spans="1:13" ht="12" x14ac:dyDescent="0.2">
      <c r="A102" s="21"/>
      <c r="B102" s="28"/>
      <c r="C102" s="29" t="s">
        <v>804</v>
      </c>
      <c r="D102" s="24" t="s">
        <v>749</v>
      </c>
      <c r="E102" s="28"/>
      <c r="F102" s="101">
        <f>902758.73/1000</f>
        <v>902.75873000000001</v>
      </c>
      <c r="G102" s="170">
        <f>G103</f>
        <v>78.352999999999994</v>
      </c>
      <c r="H102" s="170">
        <f t="shared" ref="H102:K102" si="11">H103</f>
        <v>87</v>
      </c>
      <c r="I102" s="170">
        <f t="shared" si="11"/>
        <v>55</v>
      </c>
      <c r="J102" s="170">
        <f t="shared" si="11"/>
        <v>60.8</v>
      </c>
      <c r="K102" s="170">
        <f t="shared" si="11"/>
        <v>60.8</v>
      </c>
      <c r="L102" s="158">
        <f>G102/L94</f>
        <v>0.12155478676367923</v>
      </c>
      <c r="M102" s="160">
        <f>M94*L102</f>
        <v>87.337114289703521</v>
      </c>
    </row>
    <row r="103" spans="1:13" ht="48" x14ac:dyDescent="0.2">
      <c r="A103" s="24" t="s">
        <v>756</v>
      </c>
      <c r="B103" s="29" t="s">
        <v>452</v>
      </c>
      <c r="C103" s="29" t="s">
        <v>805</v>
      </c>
      <c r="D103" s="24" t="s">
        <v>806</v>
      </c>
      <c r="E103" s="29" t="s">
        <v>448</v>
      </c>
      <c r="F103" s="101">
        <f>902758.73/1000</f>
        <v>902.75873000000001</v>
      </c>
      <c r="G103" s="170">
        <v>78.352999999999994</v>
      </c>
      <c r="H103" s="170">
        <v>87</v>
      </c>
      <c r="I103" s="170">
        <v>55</v>
      </c>
      <c r="J103" s="170">
        <v>60.8</v>
      </c>
      <c r="K103" s="170">
        <v>60.8</v>
      </c>
    </row>
    <row r="104" spans="1:13" ht="16.5" customHeight="1" x14ac:dyDescent="0.2">
      <c r="A104" s="21" t="s">
        <v>195</v>
      </c>
      <c r="B104" s="21"/>
      <c r="C104" s="28"/>
      <c r="D104" s="28"/>
      <c r="E104" s="28"/>
      <c r="F104" s="103"/>
      <c r="G104" s="172"/>
      <c r="H104" s="173"/>
      <c r="I104" s="173"/>
      <c r="J104" s="173"/>
      <c r="K104" s="173"/>
    </row>
    <row r="105" spans="1:13" ht="36" x14ac:dyDescent="0.2">
      <c r="A105" s="21"/>
      <c r="B105" s="21"/>
      <c r="C105" s="29" t="s">
        <v>662</v>
      </c>
      <c r="D105" s="24" t="s">
        <v>199</v>
      </c>
      <c r="E105" s="28"/>
      <c r="F105" s="101">
        <f>43910363.03/1000</f>
        <v>43910.36303</v>
      </c>
      <c r="G105" s="170">
        <v>34324.828999999998</v>
      </c>
      <c r="H105" s="170">
        <f>H106+H107</f>
        <v>52237.85</v>
      </c>
      <c r="I105" s="170">
        <f>I106+I107</f>
        <v>53550</v>
      </c>
      <c r="J105" s="170">
        <f t="shared" ref="J105:K105" si="12">J106+J107</f>
        <v>53550</v>
      </c>
      <c r="K105" s="170">
        <f t="shared" si="12"/>
        <v>53550</v>
      </c>
    </row>
    <row r="106" spans="1:13" ht="48" x14ac:dyDescent="0.2">
      <c r="A106" s="24" t="s">
        <v>199</v>
      </c>
      <c r="B106" s="29" t="s">
        <v>442</v>
      </c>
      <c r="C106" s="29" t="s">
        <v>663</v>
      </c>
      <c r="D106" s="24" t="s">
        <v>199</v>
      </c>
      <c r="E106" s="29" t="s">
        <v>811</v>
      </c>
      <c r="F106" s="101">
        <f>83348.95/1000</f>
        <v>83.348950000000002</v>
      </c>
      <c r="G106" s="170">
        <v>61.441000000000003</v>
      </c>
      <c r="H106" s="170">
        <v>86</v>
      </c>
      <c r="I106" s="170">
        <v>100</v>
      </c>
      <c r="J106" s="170">
        <v>100</v>
      </c>
      <c r="K106" s="170">
        <v>100</v>
      </c>
    </row>
    <row r="107" spans="1:13" ht="36" x14ac:dyDescent="0.2">
      <c r="A107" s="24" t="s">
        <v>450</v>
      </c>
      <c r="B107" s="29" t="s">
        <v>442</v>
      </c>
      <c r="C107" s="29" t="s">
        <v>664</v>
      </c>
      <c r="D107" s="24" t="s">
        <v>199</v>
      </c>
      <c r="E107" s="29" t="s">
        <v>445</v>
      </c>
      <c r="F107" s="101">
        <f>(43157840.36+669173.72)/1000</f>
        <v>43827.014080000001</v>
      </c>
      <c r="G107" s="170">
        <f>33457.239+31.644+774.505</f>
        <v>34263.387999999999</v>
      </c>
      <c r="H107" s="170">
        <v>52151.85</v>
      </c>
      <c r="I107" s="170">
        <v>53450</v>
      </c>
      <c r="J107" s="170">
        <v>53450</v>
      </c>
      <c r="K107" s="170">
        <v>53450</v>
      </c>
    </row>
    <row r="108" spans="1:13" ht="21.75" customHeight="1" x14ac:dyDescent="0.2">
      <c r="A108" s="21" t="s">
        <v>210</v>
      </c>
      <c r="B108" s="21"/>
      <c r="C108" s="28"/>
      <c r="D108" s="28"/>
      <c r="E108" s="28"/>
      <c r="F108" s="103"/>
      <c r="G108" s="172"/>
      <c r="H108" s="173"/>
      <c r="I108" s="173"/>
      <c r="J108" s="173"/>
      <c r="K108" s="173"/>
    </row>
    <row r="109" spans="1:13" ht="24" x14ac:dyDescent="0.2">
      <c r="A109" s="21"/>
      <c r="B109" s="21"/>
      <c r="C109" s="29" t="s">
        <v>665</v>
      </c>
      <c r="D109" s="24" t="s">
        <v>212</v>
      </c>
      <c r="E109" s="28"/>
      <c r="F109" s="101">
        <f>328702.97/1000</f>
        <v>328.70296999999999</v>
      </c>
      <c r="G109" s="170">
        <v>2112.1439999999998</v>
      </c>
      <c r="H109" s="170">
        <f>H110+H111+H112+H113+H114+H115</f>
        <v>2226.9299999999998</v>
      </c>
      <c r="I109" s="170">
        <v>0</v>
      </c>
      <c r="J109" s="170">
        <v>0</v>
      </c>
      <c r="K109" s="170">
        <v>0</v>
      </c>
    </row>
    <row r="110" spans="1:13" ht="66.75" customHeight="1" x14ac:dyDescent="0.2">
      <c r="A110" s="24" t="s">
        <v>212</v>
      </c>
      <c r="B110" s="29" t="s">
        <v>442</v>
      </c>
      <c r="C110" s="29" t="s">
        <v>666</v>
      </c>
      <c r="D110" s="24" t="s">
        <v>212</v>
      </c>
      <c r="E110" s="29" t="s">
        <v>811</v>
      </c>
      <c r="F110" s="101">
        <v>0</v>
      </c>
      <c r="G110" s="170">
        <v>94.343000000000004</v>
      </c>
      <c r="H110" s="170">
        <v>100.9</v>
      </c>
      <c r="I110" s="170">
        <v>0</v>
      </c>
      <c r="J110" s="170">
        <v>0</v>
      </c>
      <c r="K110" s="170">
        <v>0</v>
      </c>
    </row>
    <row r="111" spans="1:13" ht="38.25" customHeight="1" x14ac:dyDescent="0.2">
      <c r="A111" s="24" t="s">
        <v>212</v>
      </c>
      <c r="B111" s="29" t="s">
        <v>442</v>
      </c>
      <c r="C111" s="29" t="s">
        <v>667</v>
      </c>
      <c r="D111" s="24" t="s">
        <v>212</v>
      </c>
      <c r="E111" s="29" t="s">
        <v>445</v>
      </c>
      <c r="F111" s="101">
        <f>(2100+26685.77)/1000</f>
        <v>28.785769999999999</v>
      </c>
      <c r="G111" s="170">
        <v>1645.6020000000001</v>
      </c>
      <c r="H111" s="170">
        <v>1753.8</v>
      </c>
      <c r="I111" s="170">
        <v>0</v>
      </c>
      <c r="J111" s="170">
        <v>0</v>
      </c>
      <c r="K111" s="170">
        <v>0</v>
      </c>
    </row>
    <row r="112" spans="1:13" ht="53.25" customHeight="1" x14ac:dyDescent="0.2">
      <c r="A112" s="24" t="s">
        <v>451</v>
      </c>
      <c r="B112" s="29" t="s">
        <v>442</v>
      </c>
      <c r="C112" s="29" t="s">
        <v>668</v>
      </c>
      <c r="D112" s="24" t="s">
        <v>212</v>
      </c>
      <c r="E112" s="29" t="s">
        <v>449</v>
      </c>
      <c r="F112" s="101">
        <f>299917.2/1000</f>
        <v>299.91720000000004</v>
      </c>
      <c r="G112" s="170">
        <v>284.00900000000001</v>
      </c>
      <c r="H112" s="170">
        <v>284</v>
      </c>
      <c r="I112" s="170">
        <v>0</v>
      </c>
      <c r="J112" s="170">
        <v>0</v>
      </c>
      <c r="K112" s="170">
        <v>0</v>
      </c>
    </row>
    <row r="113" spans="1:11" ht="117" customHeight="1" x14ac:dyDescent="0.2">
      <c r="A113" s="24" t="s">
        <v>451</v>
      </c>
      <c r="B113" s="29"/>
      <c r="C113" s="29" t="s">
        <v>807</v>
      </c>
      <c r="D113" s="24" t="s">
        <v>212</v>
      </c>
      <c r="E113" s="46" t="s">
        <v>810</v>
      </c>
      <c r="F113" s="101"/>
      <c r="G113" s="170">
        <v>37.499000000000002</v>
      </c>
      <c r="H113" s="170">
        <v>37.5</v>
      </c>
      <c r="I113" s="170">
        <v>0</v>
      </c>
      <c r="J113" s="170">
        <v>0</v>
      </c>
      <c r="K113" s="170">
        <v>0</v>
      </c>
    </row>
    <row r="114" spans="1:11" ht="89.25" customHeight="1" x14ac:dyDescent="0.2">
      <c r="A114" s="24" t="s">
        <v>451</v>
      </c>
      <c r="B114" s="29"/>
      <c r="C114" s="29" t="s">
        <v>808</v>
      </c>
      <c r="D114" s="24" t="s">
        <v>212</v>
      </c>
      <c r="E114" s="29" t="s">
        <v>491</v>
      </c>
      <c r="F114" s="101"/>
      <c r="G114" s="170">
        <v>0.86299999999999999</v>
      </c>
      <c r="H114" s="170">
        <v>0.9</v>
      </c>
      <c r="I114" s="170">
        <v>0</v>
      </c>
      <c r="J114" s="170">
        <v>0</v>
      </c>
      <c r="K114" s="170">
        <v>0</v>
      </c>
    </row>
    <row r="115" spans="1:11" ht="42.75" customHeight="1" x14ac:dyDescent="0.2">
      <c r="A115" s="24" t="s">
        <v>451</v>
      </c>
      <c r="B115" s="29"/>
      <c r="C115" s="29" t="s">
        <v>809</v>
      </c>
      <c r="D115" s="24" t="s">
        <v>212</v>
      </c>
      <c r="E115" s="29" t="s">
        <v>456</v>
      </c>
      <c r="F115" s="101"/>
      <c r="G115" s="170">
        <v>49.829000000000001</v>
      </c>
      <c r="H115" s="170">
        <v>49.83</v>
      </c>
      <c r="I115" s="170">
        <v>0</v>
      </c>
      <c r="J115" s="170">
        <v>0</v>
      </c>
      <c r="K115" s="170">
        <v>0</v>
      </c>
    </row>
    <row r="116" spans="1:11" ht="84" x14ac:dyDescent="0.2">
      <c r="A116" s="22" t="s">
        <v>477</v>
      </c>
      <c r="B116" s="29"/>
      <c r="C116" s="29"/>
      <c r="D116" s="24"/>
      <c r="E116" s="29"/>
      <c r="F116" s="101"/>
      <c r="G116" s="171"/>
      <c r="H116" s="173"/>
      <c r="I116" s="173"/>
      <c r="J116" s="173"/>
      <c r="K116" s="173"/>
    </row>
    <row r="117" spans="1:11" ht="102" customHeight="1" x14ac:dyDescent="0.2">
      <c r="A117" s="24"/>
      <c r="B117" s="29"/>
      <c r="C117" s="29" t="s">
        <v>669</v>
      </c>
      <c r="D117" s="23" t="s">
        <v>478</v>
      </c>
      <c r="E117" s="29"/>
      <c r="F117" s="101">
        <v>0</v>
      </c>
      <c r="G117" s="170">
        <f>G118</f>
        <v>77</v>
      </c>
      <c r="H117" s="170">
        <f t="shared" ref="H117:K117" si="13">H118</f>
        <v>127</v>
      </c>
      <c r="I117" s="170">
        <f t="shared" si="13"/>
        <v>0</v>
      </c>
      <c r="J117" s="170">
        <f t="shared" si="13"/>
        <v>0</v>
      </c>
      <c r="K117" s="170">
        <f t="shared" si="13"/>
        <v>0</v>
      </c>
    </row>
    <row r="118" spans="1:11" ht="107.25" customHeight="1" x14ac:dyDescent="0.2">
      <c r="A118" s="23" t="s">
        <v>478</v>
      </c>
      <c r="B118" s="29" t="s">
        <v>442</v>
      </c>
      <c r="C118" s="29" t="s">
        <v>670</v>
      </c>
      <c r="D118" s="23" t="s">
        <v>478</v>
      </c>
      <c r="E118" s="46" t="s">
        <v>810</v>
      </c>
      <c r="F118" s="101">
        <v>0</v>
      </c>
      <c r="G118" s="170">
        <v>77</v>
      </c>
      <c r="H118" s="170">
        <v>127</v>
      </c>
      <c r="I118" s="170">
        <v>0</v>
      </c>
      <c r="J118" s="170">
        <v>0</v>
      </c>
      <c r="K118" s="170">
        <v>0</v>
      </c>
    </row>
    <row r="119" spans="1:11" ht="36" x14ac:dyDescent="0.2">
      <c r="A119" s="21" t="s">
        <v>221</v>
      </c>
      <c r="B119" s="21"/>
      <c r="C119" s="28"/>
      <c r="D119" s="28"/>
      <c r="E119" s="28"/>
      <c r="F119" s="103"/>
      <c r="G119" s="172"/>
      <c r="H119" s="173"/>
      <c r="I119" s="173"/>
      <c r="J119" s="173"/>
      <c r="K119" s="173"/>
    </row>
    <row r="120" spans="1:11" ht="63.75" customHeight="1" x14ac:dyDescent="0.2">
      <c r="A120" s="24"/>
      <c r="B120" s="24"/>
      <c r="C120" s="29" t="s">
        <v>671</v>
      </c>
      <c r="D120" s="24" t="s">
        <v>763</v>
      </c>
      <c r="E120" s="28"/>
      <c r="F120" s="101">
        <v>0</v>
      </c>
      <c r="G120" s="170">
        <f>G121</f>
        <v>247.39099999999999</v>
      </c>
      <c r="H120" s="170">
        <f t="shared" ref="H120:K120" si="14">H121</f>
        <v>300</v>
      </c>
      <c r="I120" s="170">
        <f t="shared" si="14"/>
        <v>300</v>
      </c>
      <c r="J120" s="170">
        <f t="shared" si="14"/>
        <v>300</v>
      </c>
      <c r="K120" s="170">
        <f t="shared" si="14"/>
        <v>300</v>
      </c>
    </row>
    <row r="121" spans="1:11" ht="115.5" customHeight="1" x14ac:dyDescent="0.2">
      <c r="A121" s="24" t="s">
        <v>763</v>
      </c>
      <c r="B121" s="29" t="s">
        <v>442</v>
      </c>
      <c r="C121" s="29" t="s">
        <v>672</v>
      </c>
      <c r="D121" s="24" t="s">
        <v>763</v>
      </c>
      <c r="E121" s="46" t="s">
        <v>810</v>
      </c>
      <c r="F121" s="101">
        <v>0</v>
      </c>
      <c r="G121" s="170">
        <v>247.39099999999999</v>
      </c>
      <c r="H121" s="170">
        <v>300</v>
      </c>
      <c r="I121" s="170">
        <v>300</v>
      </c>
      <c r="J121" s="170">
        <v>300</v>
      </c>
      <c r="K121" s="170">
        <v>300</v>
      </c>
    </row>
    <row r="122" spans="1:11" ht="48" x14ac:dyDescent="0.2">
      <c r="A122" s="21"/>
      <c r="B122" s="28"/>
      <c r="C122" s="29" t="s">
        <v>673</v>
      </c>
      <c r="D122" s="24" t="s">
        <v>223</v>
      </c>
      <c r="E122" s="28"/>
      <c r="F122" s="101">
        <f>2488562/1000</f>
        <v>2488.5619999999999</v>
      </c>
      <c r="G122" s="170">
        <v>1056.8499999999999</v>
      </c>
      <c r="H122" s="170">
        <f>H123+H124</f>
        <v>1098.8</v>
      </c>
      <c r="I122" s="170">
        <f t="shared" ref="I122:K122" si="15">I123+I124</f>
        <v>594</v>
      </c>
      <c r="J122" s="170">
        <f t="shared" si="15"/>
        <v>582.5</v>
      </c>
      <c r="K122" s="170">
        <f t="shared" si="15"/>
        <v>582.79999999999995</v>
      </c>
    </row>
    <row r="123" spans="1:11" ht="48" x14ac:dyDescent="0.2">
      <c r="A123" s="24" t="s">
        <v>223</v>
      </c>
      <c r="B123" s="29" t="s">
        <v>443</v>
      </c>
      <c r="C123" s="29" t="s">
        <v>674</v>
      </c>
      <c r="D123" s="24" t="s">
        <v>223</v>
      </c>
      <c r="E123" s="42" t="s">
        <v>447</v>
      </c>
      <c r="F123" s="101">
        <f>436511.52/1000</f>
        <v>436.51152000000002</v>
      </c>
      <c r="G123" s="170">
        <v>714.43399999999997</v>
      </c>
      <c r="H123" s="170">
        <v>751.3</v>
      </c>
      <c r="I123" s="170">
        <v>294</v>
      </c>
      <c r="J123" s="170">
        <v>282.5</v>
      </c>
      <c r="K123" s="170">
        <v>282.8</v>
      </c>
    </row>
    <row r="124" spans="1:11" ht="50.25" customHeight="1" x14ac:dyDescent="0.2">
      <c r="A124" s="24" t="s">
        <v>223</v>
      </c>
      <c r="B124" s="29" t="s">
        <v>443</v>
      </c>
      <c r="C124" s="29" t="s">
        <v>675</v>
      </c>
      <c r="D124" s="24" t="s">
        <v>223</v>
      </c>
      <c r="E124" s="42" t="s">
        <v>447</v>
      </c>
      <c r="F124" s="101">
        <f>1708737.01/1000</f>
        <v>1708.7370100000001</v>
      </c>
      <c r="G124" s="170">
        <v>342.416</v>
      </c>
      <c r="H124" s="170">
        <v>347.5</v>
      </c>
      <c r="I124" s="170">
        <v>300</v>
      </c>
      <c r="J124" s="170">
        <v>300</v>
      </c>
      <c r="K124" s="170">
        <v>300</v>
      </c>
    </row>
    <row r="125" spans="1:11" ht="68.25" customHeight="1" x14ac:dyDescent="0.2">
      <c r="A125" s="21" t="s">
        <v>574</v>
      </c>
      <c r="B125" s="29"/>
      <c r="C125" s="29"/>
      <c r="D125" s="24"/>
      <c r="E125" s="42"/>
      <c r="F125" s="101"/>
      <c r="G125" s="170"/>
      <c r="H125" s="171"/>
      <c r="I125" s="171"/>
      <c r="J125" s="171"/>
      <c r="K125" s="171"/>
    </row>
    <row r="126" spans="1:11" ht="83.25" customHeight="1" x14ac:dyDescent="0.2">
      <c r="A126" s="21"/>
      <c r="B126" s="29"/>
      <c r="C126" s="29"/>
      <c r="D126" s="136" t="s">
        <v>576</v>
      </c>
      <c r="E126" s="42"/>
      <c r="F126" s="101"/>
      <c r="G126" s="170">
        <f>G127</f>
        <v>12.715</v>
      </c>
      <c r="H126" s="170">
        <f t="shared" ref="H126:K126" si="16">H127</f>
        <v>12.7</v>
      </c>
      <c r="I126" s="170">
        <f t="shared" si="16"/>
        <v>0</v>
      </c>
      <c r="J126" s="170">
        <f t="shared" si="16"/>
        <v>0</v>
      </c>
      <c r="K126" s="170">
        <f t="shared" si="16"/>
        <v>0</v>
      </c>
    </row>
    <row r="127" spans="1:11" ht="90" customHeight="1" x14ac:dyDescent="0.2">
      <c r="A127" s="136" t="s">
        <v>576</v>
      </c>
      <c r="B127" s="29"/>
      <c r="C127" s="29" t="s">
        <v>812</v>
      </c>
      <c r="D127" s="136" t="s">
        <v>576</v>
      </c>
      <c r="E127" s="42" t="s">
        <v>447</v>
      </c>
      <c r="F127" s="101"/>
      <c r="G127" s="170">
        <v>12.715</v>
      </c>
      <c r="H127" s="170">
        <v>12.7</v>
      </c>
      <c r="I127" s="170">
        <v>0</v>
      </c>
      <c r="J127" s="170">
        <v>0</v>
      </c>
      <c r="K127" s="170">
        <v>0</v>
      </c>
    </row>
    <row r="128" spans="1:11" ht="24" x14ac:dyDescent="0.2">
      <c r="A128" s="21" t="s">
        <v>229</v>
      </c>
      <c r="B128" s="21"/>
      <c r="C128" s="28"/>
      <c r="D128" s="28"/>
      <c r="E128" s="28"/>
      <c r="F128" s="103"/>
      <c r="G128" s="172"/>
      <c r="H128" s="173"/>
      <c r="I128" s="173"/>
      <c r="J128" s="173"/>
      <c r="K128" s="173"/>
    </row>
    <row r="129" spans="1:11" ht="72" x14ac:dyDescent="0.2">
      <c r="A129" s="22"/>
      <c r="B129" s="22"/>
      <c r="C129" s="29" t="s">
        <v>676</v>
      </c>
      <c r="D129" s="23" t="s">
        <v>231</v>
      </c>
      <c r="E129" s="28"/>
      <c r="F129" s="101">
        <f>378500.56/1000</f>
        <v>378.50056000000001</v>
      </c>
      <c r="G129" s="170">
        <f>G130</f>
        <v>141.75399999999999</v>
      </c>
      <c r="H129" s="170">
        <f t="shared" ref="H129:K129" si="17">H130</f>
        <v>253</v>
      </c>
      <c r="I129" s="170">
        <f t="shared" si="17"/>
        <v>253</v>
      </c>
      <c r="J129" s="170">
        <f t="shared" si="17"/>
        <v>253</v>
      </c>
      <c r="K129" s="170">
        <f t="shared" si="17"/>
        <v>253</v>
      </c>
    </row>
    <row r="130" spans="1:11" ht="77.25" customHeight="1" x14ac:dyDescent="0.2">
      <c r="A130" s="23" t="s">
        <v>231</v>
      </c>
      <c r="B130" s="31">
        <v>50</v>
      </c>
      <c r="C130" s="29" t="s">
        <v>677</v>
      </c>
      <c r="D130" s="23" t="s">
        <v>231</v>
      </c>
      <c r="E130" s="29" t="s">
        <v>405</v>
      </c>
      <c r="F130" s="101">
        <f>378500.56/1000</f>
        <v>378.50056000000001</v>
      </c>
      <c r="G130" s="170">
        <v>141.75399999999999</v>
      </c>
      <c r="H130" s="170">
        <v>253</v>
      </c>
      <c r="I130" s="170">
        <v>253</v>
      </c>
      <c r="J130" s="170">
        <v>253</v>
      </c>
      <c r="K130" s="170">
        <v>253</v>
      </c>
    </row>
    <row r="131" spans="1:11" ht="62.25" customHeight="1" x14ac:dyDescent="0.2">
      <c r="A131" s="21"/>
      <c r="B131" s="21"/>
      <c r="C131" s="29" t="s">
        <v>678</v>
      </c>
      <c r="D131" s="24" t="s">
        <v>236</v>
      </c>
      <c r="E131" s="28"/>
      <c r="F131" s="101">
        <f>2245.71/1000</f>
        <v>2.2457099999999999</v>
      </c>
      <c r="G131" s="170">
        <f>G132</f>
        <v>8.5960000000000001</v>
      </c>
      <c r="H131" s="170">
        <f t="shared" ref="H131:K131" si="18">H132</f>
        <v>14</v>
      </c>
      <c r="I131" s="170">
        <f t="shared" si="18"/>
        <v>14</v>
      </c>
      <c r="J131" s="170">
        <f t="shared" si="18"/>
        <v>14</v>
      </c>
      <c r="K131" s="170">
        <f t="shared" si="18"/>
        <v>14</v>
      </c>
    </row>
    <row r="132" spans="1:11" ht="84" x14ac:dyDescent="0.2">
      <c r="A132" s="23" t="s">
        <v>239</v>
      </c>
      <c r="B132" s="31">
        <v>50</v>
      </c>
      <c r="C132" s="42" t="s">
        <v>679</v>
      </c>
      <c r="D132" s="47" t="s">
        <v>236</v>
      </c>
      <c r="E132" s="29" t="s">
        <v>405</v>
      </c>
      <c r="F132" s="101">
        <f>2245.71/1000</f>
        <v>2.2457099999999999</v>
      </c>
      <c r="G132" s="170">
        <v>8.5960000000000001</v>
      </c>
      <c r="H132" s="170">
        <v>14</v>
      </c>
      <c r="I132" s="170">
        <v>14</v>
      </c>
      <c r="J132" s="170">
        <v>14</v>
      </c>
      <c r="K132" s="170">
        <v>14</v>
      </c>
    </row>
    <row r="133" spans="1:11" ht="60" x14ac:dyDescent="0.2">
      <c r="A133" s="21" t="s">
        <v>242</v>
      </c>
      <c r="B133" s="21"/>
      <c r="C133" s="28"/>
      <c r="D133" s="28"/>
      <c r="E133" s="28"/>
      <c r="F133" s="103"/>
      <c r="G133" s="172"/>
      <c r="H133" s="173"/>
      <c r="I133" s="173"/>
      <c r="J133" s="173"/>
      <c r="K133" s="173"/>
    </row>
    <row r="134" spans="1:11" ht="60" x14ac:dyDescent="0.2">
      <c r="A134" s="24"/>
      <c r="B134" s="24"/>
      <c r="C134" s="42" t="s">
        <v>680</v>
      </c>
      <c r="D134" s="47" t="s">
        <v>242</v>
      </c>
      <c r="E134" s="42"/>
      <c r="F134" s="101">
        <f>149200/1000</f>
        <v>149.19999999999999</v>
      </c>
      <c r="G134" s="170">
        <f>G135</f>
        <v>2.2999999999999998</v>
      </c>
      <c r="H134" s="170">
        <f t="shared" ref="H134:K134" si="19">H135</f>
        <v>2.2999999999999998</v>
      </c>
      <c r="I134" s="170">
        <f t="shared" si="19"/>
        <v>2.2999999999999998</v>
      </c>
      <c r="J134" s="170">
        <f t="shared" si="19"/>
        <v>2.2999999999999998</v>
      </c>
      <c r="K134" s="170">
        <f t="shared" si="19"/>
        <v>2.2999999999999998</v>
      </c>
    </row>
    <row r="135" spans="1:11" ht="84" x14ac:dyDescent="0.2">
      <c r="A135" s="23" t="s">
        <v>245</v>
      </c>
      <c r="B135" s="31">
        <v>100</v>
      </c>
      <c r="C135" s="42" t="s">
        <v>681</v>
      </c>
      <c r="D135" s="47" t="s">
        <v>242</v>
      </c>
      <c r="E135" s="29" t="s">
        <v>405</v>
      </c>
      <c r="F135" s="101">
        <f>149200/1000</f>
        <v>149.19999999999999</v>
      </c>
      <c r="G135" s="170">
        <v>2.2999999999999998</v>
      </c>
      <c r="H135" s="170">
        <v>2.2999999999999998</v>
      </c>
      <c r="I135" s="170">
        <v>2.2999999999999998</v>
      </c>
      <c r="J135" s="170">
        <v>2.2999999999999998</v>
      </c>
      <c r="K135" s="170">
        <v>2.2999999999999998</v>
      </c>
    </row>
    <row r="136" spans="1:11" ht="48" x14ac:dyDescent="0.2">
      <c r="A136" s="22" t="s">
        <v>250</v>
      </c>
      <c r="B136" s="21"/>
      <c r="C136" s="28"/>
      <c r="D136" s="28"/>
      <c r="E136" s="28"/>
      <c r="F136" s="103"/>
      <c r="G136" s="172"/>
      <c r="H136" s="173"/>
      <c r="I136" s="173"/>
      <c r="J136" s="173"/>
      <c r="K136" s="173"/>
    </row>
    <row r="137" spans="1:11" ht="63.75" customHeight="1" x14ac:dyDescent="0.2">
      <c r="A137" s="21"/>
      <c r="B137" s="21"/>
      <c r="C137" s="29" t="s">
        <v>682</v>
      </c>
      <c r="D137" s="23" t="s">
        <v>250</v>
      </c>
      <c r="E137" s="28"/>
      <c r="F137" s="101">
        <f>262002/1000</f>
        <v>262.00200000000001</v>
      </c>
      <c r="G137" s="170">
        <f>G138</f>
        <v>233</v>
      </c>
      <c r="H137" s="170">
        <f t="shared" ref="H137:K137" si="20">H138</f>
        <v>250</v>
      </c>
      <c r="I137" s="170">
        <f t="shared" si="20"/>
        <v>199</v>
      </c>
      <c r="J137" s="170">
        <f t="shared" si="20"/>
        <v>199</v>
      </c>
      <c r="K137" s="170">
        <f t="shared" si="20"/>
        <v>199</v>
      </c>
    </row>
    <row r="138" spans="1:11" ht="60" x14ac:dyDescent="0.2">
      <c r="A138" s="23" t="s">
        <v>250</v>
      </c>
      <c r="B138" s="31">
        <v>100</v>
      </c>
      <c r="C138" s="42" t="s">
        <v>683</v>
      </c>
      <c r="D138" s="23" t="s">
        <v>250</v>
      </c>
      <c r="E138" s="29" t="s">
        <v>455</v>
      </c>
      <c r="F138" s="101">
        <f>247002/1000</f>
        <v>247.00200000000001</v>
      </c>
      <c r="G138" s="170">
        <v>233</v>
      </c>
      <c r="H138" s="170">
        <v>250</v>
      </c>
      <c r="I138" s="170">
        <v>199</v>
      </c>
      <c r="J138" s="170">
        <v>199</v>
      </c>
      <c r="K138" s="170">
        <v>199</v>
      </c>
    </row>
    <row r="139" spans="1:11" ht="48" x14ac:dyDescent="0.2">
      <c r="A139" s="22" t="s">
        <v>255</v>
      </c>
      <c r="B139" s="31"/>
      <c r="C139" s="42"/>
      <c r="D139" s="47"/>
      <c r="E139" s="29"/>
      <c r="F139" s="101"/>
      <c r="G139" s="170"/>
      <c r="H139" s="170"/>
      <c r="I139" s="171"/>
      <c r="J139" s="171"/>
      <c r="K139" s="171"/>
    </row>
    <row r="140" spans="1:11" ht="55.5" customHeight="1" x14ac:dyDescent="0.2">
      <c r="A140" s="23"/>
      <c r="B140" s="31"/>
      <c r="C140" s="42" t="s">
        <v>830</v>
      </c>
      <c r="D140" s="23" t="s">
        <v>831</v>
      </c>
      <c r="E140" s="29"/>
      <c r="F140" s="101"/>
      <c r="G140" s="170">
        <f>G141</f>
        <v>32</v>
      </c>
      <c r="H140" s="170">
        <f t="shared" ref="H140:K140" si="21">H141</f>
        <v>32</v>
      </c>
      <c r="I140" s="170">
        <f t="shared" si="21"/>
        <v>33.299999999999997</v>
      </c>
      <c r="J140" s="170">
        <f t="shared" si="21"/>
        <v>33.299999999999997</v>
      </c>
      <c r="K140" s="170">
        <f t="shared" si="21"/>
        <v>33.299999999999997</v>
      </c>
    </row>
    <row r="141" spans="1:11" ht="72" x14ac:dyDescent="0.2">
      <c r="A141" s="23" t="s">
        <v>581</v>
      </c>
      <c r="B141" s="31">
        <v>100</v>
      </c>
      <c r="C141" s="42" t="s">
        <v>829</v>
      </c>
      <c r="D141" s="23" t="s">
        <v>831</v>
      </c>
      <c r="E141" s="29" t="s">
        <v>463</v>
      </c>
      <c r="F141" s="101">
        <f>15000/1000</f>
        <v>15</v>
      </c>
      <c r="G141" s="170">
        <v>32</v>
      </c>
      <c r="H141" s="170">
        <v>32</v>
      </c>
      <c r="I141" s="170">
        <v>33.299999999999997</v>
      </c>
      <c r="J141" s="170">
        <v>33.299999999999997</v>
      </c>
      <c r="K141" s="170">
        <v>33.299999999999997</v>
      </c>
    </row>
    <row r="142" spans="1:11" ht="36" x14ac:dyDescent="0.2">
      <c r="A142" s="21" t="s">
        <v>264</v>
      </c>
      <c r="B142" s="22"/>
      <c r="C142" s="28"/>
      <c r="D142" s="28"/>
      <c r="E142" s="28"/>
      <c r="F142" s="103"/>
      <c r="G142" s="172"/>
      <c r="H142" s="173"/>
      <c r="I142" s="173"/>
      <c r="J142" s="173"/>
      <c r="K142" s="173"/>
    </row>
    <row r="143" spans="1:11" ht="36" x14ac:dyDescent="0.2">
      <c r="A143" s="21"/>
      <c r="B143" s="21"/>
      <c r="C143" s="29" t="s">
        <v>684</v>
      </c>
      <c r="D143" s="24" t="s">
        <v>264</v>
      </c>
      <c r="E143" s="28"/>
      <c r="F143" s="101">
        <f>146053.01/1000</f>
        <v>146.05301</v>
      </c>
      <c r="G143" s="170">
        <f>G144+G145</f>
        <v>43.667000000000002</v>
      </c>
      <c r="H143" s="170">
        <f>H144+H145</f>
        <v>74.900000000000006</v>
      </c>
      <c r="I143" s="170">
        <f t="shared" ref="I143:K143" si="22">I144+I145</f>
        <v>70</v>
      </c>
      <c r="J143" s="170">
        <f t="shared" si="22"/>
        <v>70</v>
      </c>
      <c r="K143" s="170">
        <f t="shared" si="22"/>
        <v>70</v>
      </c>
    </row>
    <row r="144" spans="1:11" ht="51.75" customHeight="1" x14ac:dyDescent="0.2">
      <c r="A144" s="24" t="s">
        <v>264</v>
      </c>
      <c r="B144" s="29" t="s">
        <v>442</v>
      </c>
      <c r="C144" s="42" t="s">
        <v>685</v>
      </c>
      <c r="D144" s="47" t="s">
        <v>264</v>
      </c>
      <c r="E144" s="29" t="s">
        <v>462</v>
      </c>
      <c r="F144" s="101">
        <f>123053.01/1000</f>
        <v>123.05301</v>
      </c>
      <c r="G144" s="170">
        <v>43.667000000000002</v>
      </c>
      <c r="H144" s="170">
        <v>0</v>
      </c>
      <c r="I144" s="170">
        <v>0</v>
      </c>
      <c r="J144" s="170">
        <v>0</v>
      </c>
      <c r="K144" s="170">
        <v>0</v>
      </c>
    </row>
    <row r="145" spans="1:11" ht="51.75" customHeight="1" x14ac:dyDescent="0.2">
      <c r="A145" s="24" t="s">
        <v>264</v>
      </c>
      <c r="B145" s="29" t="s">
        <v>442</v>
      </c>
      <c r="C145" s="48" t="s">
        <v>833</v>
      </c>
      <c r="D145" s="47" t="s">
        <v>264</v>
      </c>
      <c r="E145" s="29" t="s">
        <v>819</v>
      </c>
      <c r="F145" s="101"/>
      <c r="G145" s="170">
        <v>0</v>
      </c>
      <c r="H145" s="170">
        <v>74.900000000000006</v>
      </c>
      <c r="I145" s="170">
        <v>70</v>
      </c>
      <c r="J145" s="170">
        <v>70</v>
      </c>
      <c r="K145" s="170">
        <v>70</v>
      </c>
    </row>
    <row r="146" spans="1:11" ht="27.75" customHeight="1" x14ac:dyDescent="0.2">
      <c r="A146" s="21" t="s">
        <v>267</v>
      </c>
      <c r="B146" s="29"/>
      <c r="C146" s="42"/>
      <c r="D146" s="47"/>
      <c r="E146" s="29"/>
      <c r="F146" s="101"/>
      <c r="G146" s="170"/>
      <c r="H146" s="171"/>
      <c r="I146" s="171"/>
      <c r="J146" s="171"/>
      <c r="K146" s="171"/>
    </row>
    <row r="147" spans="1:11" ht="36" x14ac:dyDescent="0.2">
      <c r="A147" s="21"/>
      <c r="B147" s="21"/>
      <c r="C147" s="29" t="s">
        <v>813</v>
      </c>
      <c r="D147" s="24" t="s">
        <v>267</v>
      </c>
      <c r="E147" s="28"/>
      <c r="F147" s="101">
        <f>10000/1000</f>
        <v>10</v>
      </c>
      <c r="G147" s="170">
        <f>G148</f>
        <v>34.200000000000003</v>
      </c>
      <c r="H147" s="170">
        <f>H148</f>
        <v>45.6</v>
      </c>
      <c r="I147" s="170">
        <f t="shared" ref="I147:K147" si="23">I148</f>
        <v>47.4</v>
      </c>
      <c r="J147" s="170">
        <f t="shared" si="23"/>
        <v>49.2</v>
      </c>
      <c r="K147" s="170">
        <f t="shared" si="23"/>
        <v>51.3</v>
      </c>
    </row>
    <row r="148" spans="1:11" ht="60" x14ac:dyDescent="0.2">
      <c r="A148" s="24" t="s">
        <v>270</v>
      </c>
      <c r="B148" s="29" t="s">
        <v>442</v>
      </c>
      <c r="C148" s="42" t="s">
        <v>686</v>
      </c>
      <c r="D148" s="47" t="s">
        <v>267</v>
      </c>
      <c r="E148" s="29" t="s">
        <v>463</v>
      </c>
      <c r="F148" s="101">
        <f>10000/1000</f>
        <v>10</v>
      </c>
      <c r="G148" s="170">
        <v>34.200000000000003</v>
      </c>
      <c r="H148" s="170">
        <v>45.6</v>
      </c>
      <c r="I148" s="170">
        <v>47.4</v>
      </c>
      <c r="J148" s="170">
        <v>49.2</v>
      </c>
      <c r="K148" s="170">
        <v>51.3</v>
      </c>
    </row>
    <row r="149" spans="1:11" ht="24" customHeight="1" x14ac:dyDescent="0.2">
      <c r="A149" s="21" t="s">
        <v>273</v>
      </c>
      <c r="B149" s="29"/>
      <c r="C149" s="42"/>
      <c r="D149" s="47"/>
      <c r="E149" s="29"/>
      <c r="F149" s="101"/>
      <c r="G149" s="171"/>
      <c r="H149" s="171"/>
      <c r="I149" s="171"/>
      <c r="J149" s="171"/>
      <c r="K149" s="171"/>
    </row>
    <row r="150" spans="1:11" ht="24" x14ac:dyDescent="0.2">
      <c r="A150" s="21"/>
      <c r="B150" s="21"/>
      <c r="C150" s="29" t="s">
        <v>687</v>
      </c>
      <c r="D150" s="24" t="s">
        <v>273</v>
      </c>
      <c r="E150" s="28"/>
      <c r="F150" s="101">
        <f>520874.15/1000</f>
        <v>520.87414999999999</v>
      </c>
      <c r="G150" s="170">
        <f>G152+G151</f>
        <v>20</v>
      </c>
      <c r="H150" s="170">
        <f t="shared" ref="H150:K150" si="24">H152+H151</f>
        <v>65</v>
      </c>
      <c r="I150" s="170">
        <f>I152+I151</f>
        <v>80</v>
      </c>
      <c r="J150" s="170">
        <f t="shared" si="24"/>
        <v>70</v>
      </c>
      <c r="K150" s="170">
        <f t="shared" si="24"/>
        <v>70</v>
      </c>
    </row>
    <row r="151" spans="1:11" ht="63.75" customHeight="1" x14ac:dyDescent="0.2">
      <c r="A151" s="24" t="s">
        <v>276</v>
      </c>
      <c r="B151" s="29" t="s">
        <v>442</v>
      </c>
      <c r="C151" s="42" t="s">
        <v>834</v>
      </c>
      <c r="D151" s="47" t="s">
        <v>273</v>
      </c>
      <c r="E151" s="46" t="s">
        <v>835</v>
      </c>
      <c r="F151" s="101">
        <f>520874.15/1000</f>
        <v>520.87414999999999</v>
      </c>
      <c r="G151" s="170">
        <v>0</v>
      </c>
      <c r="H151" s="170">
        <v>45</v>
      </c>
      <c r="I151" s="170">
        <v>70</v>
      </c>
      <c r="J151" s="170">
        <v>70</v>
      </c>
      <c r="K151" s="170">
        <v>70</v>
      </c>
    </row>
    <row r="152" spans="1:11" ht="63.75" customHeight="1" x14ac:dyDescent="0.2">
      <c r="A152" s="24" t="s">
        <v>276</v>
      </c>
      <c r="B152" s="29" t="s">
        <v>442</v>
      </c>
      <c r="C152" s="42" t="s">
        <v>688</v>
      </c>
      <c r="D152" s="47" t="s">
        <v>273</v>
      </c>
      <c r="E152" s="29" t="s">
        <v>464</v>
      </c>
      <c r="F152" s="101">
        <f>520874.15/1000</f>
        <v>520.87414999999999</v>
      </c>
      <c r="G152" s="170">
        <v>20</v>
      </c>
      <c r="H152" s="170">
        <v>20</v>
      </c>
      <c r="I152" s="170">
        <v>10</v>
      </c>
      <c r="J152" s="170">
        <v>0</v>
      </c>
      <c r="K152" s="170">
        <v>0</v>
      </c>
    </row>
    <row r="153" spans="1:11" ht="57" customHeight="1" x14ac:dyDescent="0.2">
      <c r="A153" s="21" t="s">
        <v>279</v>
      </c>
      <c r="B153" s="21"/>
      <c r="C153" s="28"/>
      <c r="D153" s="28"/>
      <c r="E153" s="28"/>
      <c r="F153" s="103"/>
      <c r="G153" s="172"/>
      <c r="H153" s="173"/>
      <c r="I153" s="173"/>
      <c r="J153" s="173"/>
      <c r="K153" s="173"/>
    </row>
    <row r="154" spans="1:11" ht="60" x14ac:dyDescent="0.2">
      <c r="A154" s="24"/>
      <c r="B154" s="24"/>
      <c r="C154" s="29" t="s">
        <v>689</v>
      </c>
      <c r="D154" s="24" t="s">
        <v>279</v>
      </c>
      <c r="E154" s="29"/>
      <c r="F154" s="101">
        <f>474463.8/1000</f>
        <v>474.46379999999999</v>
      </c>
      <c r="G154" s="170">
        <v>524.01800000000003</v>
      </c>
      <c r="H154" s="170">
        <f>H155+H156</f>
        <v>618.20000000000005</v>
      </c>
      <c r="I154" s="170">
        <f>I155+I156</f>
        <v>631.20000000000005</v>
      </c>
      <c r="J154" s="170">
        <f t="shared" ref="J154:K154" si="25">J155+J156</f>
        <v>631.20000000000005</v>
      </c>
      <c r="K154" s="170">
        <f t="shared" si="25"/>
        <v>631.20000000000005</v>
      </c>
    </row>
    <row r="155" spans="1:11" ht="84" x14ac:dyDescent="0.2">
      <c r="A155" s="23" t="s">
        <v>283</v>
      </c>
      <c r="B155" s="31">
        <v>100</v>
      </c>
      <c r="C155" s="42" t="s">
        <v>690</v>
      </c>
      <c r="D155" s="47" t="s">
        <v>279</v>
      </c>
      <c r="E155" s="42" t="s">
        <v>463</v>
      </c>
      <c r="F155" s="101">
        <f>430574.11/1000</f>
        <v>430.57410999999996</v>
      </c>
      <c r="G155" s="170">
        <v>503.1</v>
      </c>
      <c r="H155" s="170">
        <v>593.20000000000005</v>
      </c>
      <c r="I155" s="170">
        <v>614.20000000000005</v>
      </c>
      <c r="J155" s="170">
        <v>614.20000000000005</v>
      </c>
      <c r="K155" s="170">
        <v>614.20000000000005</v>
      </c>
    </row>
    <row r="156" spans="1:11" ht="84" x14ac:dyDescent="0.2">
      <c r="A156" s="23" t="s">
        <v>283</v>
      </c>
      <c r="B156" s="31">
        <v>100</v>
      </c>
      <c r="C156" s="42" t="s">
        <v>691</v>
      </c>
      <c r="D156" s="47" t="s">
        <v>279</v>
      </c>
      <c r="E156" s="29" t="s">
        <v>455</v>
      </c>
      <c r="F156" s="101">
        <f>43889.69/1000</f>
        <v>43.889690000000002</v>
      </c>
      <c r="G156" s="170">
        <v>20.917999999999999</v>
      </c>
      <c r="H156" s="170">
        <v>25</v>
      </c>
      <c r="I156" s="170">
        <v>17</v>
      </c>
      <c r="J156" s="170">
        <v>17</v>
      </c>
      <c r="K156" s="170">
        <v>17</v>
      </c>
    </row>
    <row r="157" spans="1:11" ht="45.75" customHeight="1" x14ac:dyDescent="0.2">
      <c r="A157" s="21" t="s">
        <v>815</v>
      </c>
      <c r="B157" s="21"/>
      <c r="C157" s="28"/>
      <c r="D157" s="28"/>
      <c r="E157" s="28"/>
      <c r="F157" s="103"/>
      <c r="G157" s="172"/>
      <c r="H157" s="173"/>
      <c r="I157" s="173"/>
      <c r="J157" s="173"/>
      <c r="K157" s="173"/>
    </row>
    <row r="158" spans="1:11" ht="66" customHeight="1" x14ac:dyDescent="0.2">
      <c r="A158" s="21"/>
      <c r="B158" s="21"/>
      <c r="C158" s="29" t="s">
        <v>692</v>
      </c>
      <c r="D158" s="24" t="s">
        <v>291</v>
      </c>
      <c r="E158" s="28"/>
      <c r="F158" s="101">
        <f>66082.7/1000</f>
        <v>66.082700000000003</v>
      </c>
      <c r="G158" s="170">
        <f>G159</f>
        <v>11</v>
      </c>
      <c r="H158" s="170">
        <f t="shared" ref="H158:K158" si="26">H159</f>
        <v>14.7</v>
      </c>
      <c r="I158" s="170">
        <f t="shared" si="26"/>
        <v>15.3</v>
      </c>
      <c r="J158" s="170">
        <f t="shared" si="26"/>
        <v>15.8</v>
      </c>
      <c r="K158" s="170">
        <f t="shared" si="26"/>
        <v>16.5</v>
      </c>
    </row>
    <row r="159" spans="1:11" ht="87.75" customHeight="1" x14ac:dyDescent="0.2">
      <c r="A159" s="23" t="s">
        <v>294</v>
      </c>
      <c r="B159" s="31">
        <v>100</v>
      </c>
      <c r="C159" s="42" t="s">
        <v>693</v>
      </c>
      <c r="D159" s="47" t="s">
        <v>291</v>
      </c>
      <c r="E159" s="29" t="s">
        <v>455</v>
      </c>
      <c r="F159" s="101">
        <f>66082.7/1000</f>
        <v>66.082700000000003</v>
      </c>
      <c r="G159" s="170">
        <v>11</v>
      </c>
      <c r="H159" s="170">
        <v>14.7</v>
      </c>
      <c r="I159" s="170">
        <v>15.3</v>
      </c>
      <c r="J159" s="170">
        <v>15.8</v>
      </c>
      <c r="K159" s="170">
        <v>16.5</v>
      </c>
    </row>
    <row r="160" spans="1:11" ht="32.25" customHeight="1" x14ac:dyDescent="0.2">
      <c r="A160" s="21" t="s">
        <v>297</v>
      </c>
      <c r="B160" s="31"/>
      <c r="C160" s="42"/>
      <c r="D160" s="47"/>
      <c r="E160" s="29"/>
      <c r="F160" s="101"/>
      <c r="G160" s="171"/>
      <c r="H160" s="171"/>
      <c r="I160" s="171"/>
      <c r="J160" s="171"/>
      <c r="K160" s="171"/>
    </row>
    <row r="161" spans="1:11" ht="33" customHeight="1" x14ac:dyDescent="0.2">
      <c r="A161" s="24"/>
      <c r="B161" s="29"/>
      <c r="C161" s="29" t="s">
        <v>694</v>
      </c>
      <c r="D161" s="24" t="s">
        <v>297</v>
      </c>
      <c r="E161" s="29"/>
      <c r="F161" s="101">
        <f>76425.3/1000</f>
        <v>76.425300000000007</v>
      </c>
      <c r="G161" s="170">
        <f>G162</f>
        <v>148.01900000000001</v>
      </c>
      <c r="H161" s="170">
        <f t="shared" ref="H161:K161" si="27">H162</f>
        <v>150</v>
      </c>
      <c r="I161" s="170">
        <f t="shared" si="27"/>
        <v>170</v>
      </c>
      <c r="J161" s="170">
        <f t="shared" si="27"/>
        <v>170</v>
      </c>
      <c r="K161" s="170">
        <f t="shared" si="27"/>
        <v>170</v>
      </c>
    </row>
    <row r="162" spans="1:11" ht="67.5" customHeight="1" x14ac:dyDescent="0.2">
      <c r="A162" s="24" t="s">
        <v>300</v>
      </c>
      <c r="B162" s="29" t="s">
        <v>442</v>
      </c>
      <c r="C162" s="42" t="s">
        <v>695</v>
      </c>
      <c r="D162" s="47" t="s">
        <v>297</v>
      </c>
      <c r="E162" s="29" t="s">
        <v>455</v>
      </c>
      <c r="F162" s="101">
        <f>76425.3/1000</f>
        <v>76.425300000000007</v>
      </c>
      <c r="G162" s="170">
        <v>148.01900000000001</v>
      </c>
      <c r="H162" s="170">
        <v>150</v>
      </c>
      <c r="I162" s="170">
        <v>170</v>
      </c>
      <c r="J162" s="170">
        <v>170</v>
      </c>
      <c r="K162" s="170">
        <v>170</v>
      </c>
    </row>
    <row r="163" spans="1:11" ht="66.75" customHeight="1" x14ac:dyDescent="0.2">
      <c r="A163" s="21" t="s">
        <v>303</v>
      </c>
      <c r="B163" s="21"/>
      <c r="C163" s="28"/>
      <c r="D163" s="28"/>
      <c r="E163" s="28"/>
      <c r="F163" s="103"/>
      <c r="G163" s="172"/>
      <c r="H163" s="173"/>
      <c r="I163" s="173"/>
      <c r="J163" s="173"/>
      <c r="K163" s="173"/>
    </row>
    <row r="164" spans="1:11" ht="75.75" customHeight="1" x14ac:dyDescent="0.2">
      <c r="A164" s="21"/>
      <c r="B164" s="21"/>
      <c r="C164" s="29" t="s">
        <v>696</v>
      </c>
      <c r="D164" s="24" t="s">
        <v>305</v>
      </c>
      <c r="E164" s="28"/>
      <c r="F164" s="101">
        <f>50543.55/1000</f>
        <v>50.543550000000003</v>
      </c>
      <c r="G164" s="170">
        <v>30.192</v>
      </c>
      <c r="H164" s="170">
        <f>H165+H166</f>
        <v>30.2</v>
      </c>
      <c r="I164" s="170">
        <f t="shared" ref="I164:K164" si="28">I165+I166</f>
        <v>31.3</v>
      </c>
      <c r="J164" s="170">
        <f t="shared" si="28"/>
        <v>32.4</v>
      </c>
      <c r="K164" s="170">
        <f t="shared" si="28"/>
        <v>33.700000000000003</v>
      </c>
    </row>
    <row r="165" spans="1:11" ht="74.25" customHeight="1" x14ac:dyDescent="0.2">
      <c r="A165" s="24" t="s">
        <v>305</v>
      </c>
      <c r="B165" s="46" t="s">
        <v>442</v>
      </c>
      <c r="C165" s="42" t="s">
        <v>697</v>
      </c>
      <c r="D165" s="47" t="s">
        <v>305</v>
      </c>
      <c r="E165" s="42" t="s">
        <v>457</v>
      </c>
      <c r="F165" s="101">
        <f>50000/1000</f>
        <v>50</v>
      </c>
      <c r="G165" s="170">
        <v>30</v>
      </c>
      <c r="H165" s="170">
        <v>30</v>
      </c>
      <c r="I165" s="170">
        <v>31.3</v>
      </c>
      <c r="J165" s="170">
        <v>32.4</v>
      </c>
      <c r="K165" s="170">
        <v>33.700000000000003</v>
      </c>
    </row>
    <row r="166" spans="1:11" ht="110.25" customHeight="1" x14ac:dyDescent="0.2">
      <c r="A166" s="24" t="s">
        <v>305</v>
      </c>
      <c r="B166" s="46" t="s">
        <v>442</v>
      </c>
      <c r="C166" s="42" t="s">
        <v>814</v>
      </c>
      <c r="D166" s="47" t="s">
        <v>305</v>
      </c>
      <c r="E166" s="46" t="s">
        <v>810</v>
      </c>
      <c r="F166" s="101">
        <f>543.55/1000</f>
        <v>0.54354999999999998</v>
      </c>
      <c r="G166" s="170">
        <v>0.192</v>
      </c>
      <c r="H166" s="170">
        <v>0.2</v>
      </c>
      <c r="I166" s="170">
        <v>0</v>
      </c>
      <c r="J166" s="170">
        <v>0</v>
      </c>
      <c r="K166" s="170">
        <v>0</v>
      </c>
    </row>
    <row r="167" spans="1:11" ht="24" x14ac:dyDescent="0.2">
      <c r="A167" s="21" t="s">
        <v>308</v>
      </c>
      <c r="B167" s="21"/>
      <c r="C167" s="28"/>
      <c r="D167" s="28"/>
      <c r="E167" s="28"/>
      <c r="F167" s="103"/>
      <c r="G167" s="172"/>
      <c r="H167" s="173"/>
      <c r="I167" s="173"/>
      <c r="J167" s="173"/>
      <c r="K167" s="173"/>
    </row>
    <row r="168" spans="1:11" ht="36" x14ac:dyDescent="0.2">
      <c r="A168" s="21"/>
      <c r="B168" s="21"/>
      <c r="C168" s="29" t="s">
        <v>698</v>
      </c>
      <c r="D168" s="24" t="s">
        <v>310</v>
      </c>
      <c r="E168" s="28"/>
      <c r="F168" s="101">
        <f>152279/1000</f>
        <v>152.279</v>
      </c>
      <c r="G168" s="170">
        <f>G169</f>
        <v>31.628</v>
      </c>
      <c r="H168" s="170">
        <f t="shared" ref="H168:K168" si="29">H169</f>
        <v>58.1</v>
      </c>
      <c r="I168" s="170">
        <f t="shared" si="29"/>
        <v>20</v>
      </c>
      <c r="J168" s="170">
        <f t="shared" si="29"/>
        <v>20</v>
      </c>
      <c r="K168" s="170">
        <f t="shared" si="29"/>
        <v>20</v>
      </c>
    </row>
    <row r="169" spans="1:11" ht="72" x14ac:dyDescent="0.2">
      <c r="A169" s="24" t="s">
        <v>313</v>
      </c>
      <c r="B169" s="29" t="s">
        <v>442</v>
      </c>
      <c r="C169" s="42" t="s">
        <v>699</v>
      </c>
      <c r="D169" s="47" t="s">
        <v>310</v>
      </c>
      <c r="E169" s="29" t="s">
        <v>465</v>
      </c>
      <c r="F169" s="101">
        <f>152279/1000</f>
        <v>152.279</v>
      </c>
      <c r="G169" s="170">
        <v>31.628</v>
      </c>
      <c r="H169" s="170">
        <v>58.1</v>
      </c>
      <c r="I169" s="170">
        <v>20</v>
      </c>
      <c r="J169" s="170">
        <v>20</v>
      </c>
      <c r="K169" s="170">
        <v>20</v>
      </c>
    </row>
    <row r="170" spans="1:11" ht="65.25" customHeight="1" x14ac:dyDescent="0.2">
      <c r="A170" s="21" t="s">
        <v>316</v>
      </c>
      <c r="B170" s="21"/>
      <c r="C170" s="28"/>
      <c r="D170" s="28"/>
      <c r="E170" s="28"/>
      <c r="F170" s="103"/>
      <c r="G170" s="172"/>
      <c r="H170" s="173"/>
      <c r="I170" s="173"/>
      <c r="J170" s="173"/>
      <c r="K170" s="173"/>
    </row>
    <row r="171" spans="1:11" ht="75.75" customHeight="1" x14ac:dyDescent="0.2">
      <c r="A171" s="24"/>
      <c r="B171" s="24"/>
      <c r="C171" s="29" t="s">
        <v>700</v>
      </c>
      <c r="D171" s="24" t="s">
        <v>316</v>
      </c>
      <c r="E171" s="29"/>
      <c r="F171" s="101">
        <f>23010.23/1000</f>
        <v>23.01023</v>
      </c>
      <c r="G171" s="170">
        <v>267.56</v>
      </c>
      <c r="H171" s="170">
        <f>H172+H173+H174+H175</f>
        <v>398</v>
      </c>
      <c r="I171" s="170">
        <f t="shared" ref="I171:K171" si="30">I172+I173+I174+I175</f>
        <v>406.8</v>
      </c>
      <c r="J171" s="170">
        <f t="shared" si="30"/>
        <v>415.7</v>
      </c>
      <c r="K171" s="170">
        <f t="shared" si="30"/>
        <v>425.9</v>
      </c>
    </row>
    <row r="172" spans="1:11" ht="66.75" customHeight="1" x14ac:dyDescent="0.2">
      <c r="A172" s="23" t="s">
        <v>316</v>
      </c>
      <c r="B172" s="24"/>
      <c r="C172" s="42" t="s">
        <v>816</v>
      </c>
      <c r="D172" s="47" t="s">
        <v>316</v>
      </c>
      <c r="E172" s="29" t="s">
        <v>819</v>
      </c>
      <c r="F172" s="101"/>
      <c r="G172" s="170">
        <v>100</v>
      </c>
      <c r="H172" s="170">
        <v>200</v>
      </c>
      <c r="I172" s="170">
        <v>208.4</v>
      </c>
      <c r="J172" s="170">
        <v>215.9</v>
      </c>
      <c r="K172" s="170">
        <v>224.5</v>
      </c>
    </row>
    <row r="173" spans="1:11" ht="85.5" customHeight="1" x14ac:dyDescent="0.2">
      <c r="A173" s="23" t="s">
        <v>318</v>
      </c>
      <c r="B173" s="24"/>
      <c r="C173" s="42" t="s">
        <v>817</v>
      </c>
      <c r="D173" s="47" t="s">
        <v>316</v>
      </c>
      <c r="E173" s="29" t="s">
        <v>405</v>
      </c>
      <c r="F173" s="101"/>
      <c r="G173" s="170">
        <v>36.863999999999997</v>
      </c>
      <c r="H173" s="170">
        <v>36.9</v>
      </c>
      <c r="I173" s="170">
        <v>38.4</v>
      </c>
      <c r="J173" s="170">
        <v>39.799999999999997</v>
      </c>
      <c r="K173" s="170">
        <v>41.4</v>
      </c>
    </row>
    <row r="174" spans="1:11" ht="86.25" customHeight="1" x14ac:dyDescent="0.2">
      <c r="A174" s="23" t="s">
        <v>318</v>
      </c>
      <c r="B174" s="24"/>
      <c r="C174" s="42" t="s">
        <v>701</v>
      </c>
      <c r="D174" s="47" t="s">
        <v>316</v>
      </c>
      <c r="E174" s="42" t="s">
        <v>455</v>
      </c>
      <c r="F174" s="101"/>
      <c r="G174" s="170">
        <v>129.666</v>
      </c>
      <c r="H174" s="170">
        <v>160</v>
      </c>
      <c r="I174" s="170">
        <v>160</v>
      </c>
      <c r="J174" s="170">
        <v>160</v>
      </c>
      <c r="K174" s="170">
        <v>160</v>
      </c>
    </row>
    <row r="175" spans="1:11" ht="96" x14ac:dyDescent="0.2">
      <c r="A175" s="23" t="s">
        <v>318</v>
      </c>
      <c r="B175" s="31">
        <v>100</v>
      </c>
      <c r="C175" s="42" t="s">
        <v>818</v>
      </c>
      <c r="D175" s="47" t="s">
        <v>316</v>
      </c>
      <c r="E175" s="42" t="s">
        <v>820</v>
      </c>
      <c r="F175" s="101">
        <f>23010.23/1000</f>
        <v>23.01023</v>
      </c>
      <c r="G175" s="170">
        <v>1.03</v>
      </c>
      <c r="H175" s="170">
        <v>1.1000000000000001</v>
      </c>
      <c r="I175" s="170">
        <v>0</v>
      </c>
      <c r="J175" s="170">
        <v>0</v>
      </c>
      <c r="K175" s="170">
        <v>0</v>
      </c>
    </row>
    <row r="176" spans="1:11" ht="26.25" customHeight="1" x14ac:dyDescent="0.2">
      <c r="A176" s="21" t="s">
        <v>321</v>
      </c>
      <c r="B176" s="21"/>
      <c r="C176" s="28"/>
      <c r="D176" s="28"/>
      <c r="E176" s="28"/>
      <c r="F176" s="103"/>
      <c r="G176" s="172"/>
      <c r="H176" s="173"/>
      <c r="I176" s="173"/>
      <c r="J176" s="173"/>
      <c r="K176" s="173"/>
    </row>
    <row r="177" spans="1:14" ht="36" x14ac:dyDescent="0.2">
      <c r="A177" s="21"/>
      <c r="B177" s="21"/>
      <c r="C177" s="29" t="s">
        <v>702</v>
      </c>
      <c r="D177" s="24" t="s">
        <v>323</v>
      </c>
      <c r="E177" s="28"/>
      <c r="F177" s="101">
        <f>4616348.78/1000</f>
        <v>4616.3487800000003</v>
      </c>
      <c r="G177" s="170">
        <v>1830.826</v>
      </c>
      <c r="H177" s="170">
        <f>H178+H179+H180+H181+H182+H183+H184+H185+H186+H187+H188</f>
        <v>2588.9</v>
      </c>
      <c r="I177" s="170">
        <f>I178+I179+I180+I181+I182+I183+I184+I185+I186+I187+I188</f>
        <v>2710.7000000000003</v>
      </c>
      <c r="J177" s="170">
        <f t="shared" ref="J177:K177" si="31">J178+J179+J180+J181+J182+J183+J184+J185+J186+J187+J188</f>
        <v>2820.1</v>
      </c>
      <c r="K177" s="170">
        <f t="shared" si="31"/>
        <v>2853.7999999999997</v>
      </c>
      <c r="L177" s="154">
        <f>H177+H171+H168+H164+H161+H158+H154+H150+H147+H143+H137+H134+H131+H129</f>
        <v>4562.8999999999996</v>
      </c>
      <c r="M177" s="160">
        <v>4594.8999999999996</v>
      </c>
      <c r="N177" s="181">
        <f>M177-L177</f>
        <v>32</v>
      </c>
    </row>
    <row r="178" spans="1:14" ht="36" x14ac:dyDescent="0.2">
      <c r="A178" s="24" t="s">
        <v>323</v>
      </c>
      <c r="B178" s="29" t="s">
        <v>442</v>
      </c>
      <c r="C178" s="42" t="s">
        <v>703</v>
      </c>
      <c r="D178" s="47" t="s">
        <v>323</v>
      </c>
      <c r="E178" s="48" t="s">
        <v>461</v>
      </c>
      <c r="F178" s="101">
        <f>106000/1000</f>
        <v>106</v>
      </c>
      <c r="G178" s="170">
        <v>35.58</v>
      </c>
      <c r="H178" s="170">
        <v>77</v>
      </c>
      <c r="I178" s="170">
        <v>77</v>
      </c>
      <c r="J178" s="170">
        <v>77</v>
      </c>
      <c r="K178" s="170">
        <v>77</v>
      </c>
    </row>
    <row r="179" spans="1:14" ht="56.25" customHeight="1" x14ac:dyDescent="0.2">
      <c r="A179" s="24" t="s">
        <v>323</v>
      </c>
      <c r="B179" s="29" t="s">
        <v>442</v>
      </c>
      <c r="C179" s="42" t="s">
        <v>821</v>
      </c>
      <c r="D179" s="47" t="s">
        <v>323</v>
      </c>
      <c r="E179" s="42" t="s">
        <v>822</v>
      </c>
      <c r="F179" s="101">
        <f>10800/1000</f>
        <v>10.8</v>
      </c>
      <c r="G179" s="170">
        <v>50</v>
      </c>
      <c r="H179" s="170">
        <v>50</v>
      </c>
      <c r="I179" s="170">
        <v>52.1</v>
      </c>
      <c r="J179" s="170">
        <v>54</v>
      </c>
      <c r="K179" s="170">
        <v>56.1</v>
      </c>
    </row>
    <row r="180" spans="1:14" ht="51.75" customHeight="1" x14ac:dyDescent="0.2">
      <c r="A180" s="24" t="s">
        <v>323</v>
      </c>
      <c r="B180" s="29" t="s">
        <v>442</v>
      </c>
      <c r="C180" s="42" t="s">
        <v>704</v>
      </c>
      <c r="D180" s="47" t="s">
        <v>323</v>
      </c>
      <c r="E180" s="42" t="s">
        <v>462</v>
      </c>
      <c r="F180" s="101">
        <f>10800/1000</f>
        <v>10.8</v>
      </c>
      <c r="G180" s="170">
        <v>120.6</v>
      </c>
      <c r="H180" s="170">
        <v>0</v>
      </c>
      <c r="I180" s="170">
        <v>0</v>
      </c>
      <c r="J180" s="170">
        <v>0</v>
      </c>
      <c r="K180" s="170">
        <v>0</v>
      </c>
    </row>
    <row r="181" spans="1:14" ht="37.5" customHeight="1" x14ac:dyDescent="0.2">
      <c r="A181" s="24" t="s">
        <v>323</v>
      </c>
      <c r="B181" s="29" t="s">
        <v>442</v>
      </c>
      <c r="C181" s="42" t="s">
        <v>705</v>
      </c>
      <c r="D181" s="47" t="s">
        <v>323</v>
      </c>
      <c r="E181" s="42" t="s">
        <v>459</v>
      </c>
      <c r="F181" s="102">
        <f>216709.94/1000</f>
        <v>216.70993999999999</v>
      </c>
      <c r="G181" s="170">
        <v>13.5</v>
      </c>
      <c r="H181" s="170">
        <v>18</v>
      </c>
      <c r="I181" s="170">
        <v>18.8</v>
      </c>
      <c r="J181" s="170">
        <v>19.399999999999999</v>
      </c>
      <c r="K181" s="170">
        <v>20.2</v>
      </c>
    </row>
    <row r="182" spans="1:14" ht="37.5" customHeight="1" x14ac:dyDescent="0.2">
      <c r="A182" s="24" t="s">
        <v>323</v>
      </c>
      <c r="B182" s="29" t="s">
        <v>442</v>
      </c>
      <c r="C182" s="42" t="s">
        <v>823</v>
      </c>
      <c r="D182" s="47" t="s">
        <v>323</v>
      </c>
      <c r="E182" s="42" t="s">
        <v>819</v>
      </c>
      <c r="F182" s="102"/>
      <c r="G182" s="170">
        <v>1.5</v>
      </c>
      <c r="H182" s="170">
        <v>123</v>
      </c>
      <c r="I182" s="170">
        <v>200</v>
      </c>
      <c r="J182" s="170">
        <v>200</v>
      </c>
      <c r="K182" s="170">
        <v>200</v>
      </c>
    </row>
    <row r="183" spans="1:14" ht="53.25" customHeight="1" x14ac:dyDescent="0.2">
      <c r="A183" s="24" t="s">
        <v>323</v>
      </c>
      <c r="B183" s="29" t="s">
        <v>442</v>
      </c>
      <c r="C183" s="42" t="s">
        <v>706</v>
      </c>
      <c r="D183" s="47" t="s">
        <v>323</v>
      </c>
      <c r="E183" s="42" t="s">
        <v>449</v>
      </c>
      <c r="F183" s="101">
        <f>2533444.48/1000</f>
        <v>2533.4444800000001</v>
      </c>
      <c r="G183" s="170">
        <v>439.15100000000001</v>
      </c>
      <c r="H183" s="170">
        <v>600.79999999999995</v>
      </c>
      <c r="I183" s="170">
        <v>626</v>
      </c>
      <c r="J183" s="170">
        <v>648.6</v>
      </c>
      <c r="K183" s="170">
        <v>674.5</v>
      </c>
    </row>
    <row r="184" spans="1:14" ht="72" x14ac:dyDescent="0.2">
      <c r="A184" s="23" t="s">
        <v>334</v>
      </c>
      <c r="B184" s="29" t="s">
        <v>442</v>
      </c>
      <c r="C184" s="42" t="s">
        <v>707</v>
      </c>
      <c r="D184" s="47" t="s">
        <v>323</v>
      </c>
      <c r="E184" s="29" t="s">
        <v>465</v>
      </c>
      <c r="F184" s="101">
        <f>578797.55/1000</f>
        <v>578.79755</v>
      </c>
      <c r="G184" s="170">
        <v>313.49</v>
      </c>
      <c r="H184" s="170">
        <v>390.8</v>
      </c>
      <c r="I184" s="170">
        <v>400</v>
      </c>
      <c r="J184" s="170">
        <v>380</v>
      </c>
      <c r="K184" s="170">
        <v>380</v>
      </c>
    </row>
    <row r="185" spans="1:14" ht="72" x14ac:dyDescent="0.2">
      <c r="A185" s="23" t="s">
        <v>334</v>
      </c>
      <c r="B185" s="29" t="s">
        <v>442</v>
      </c>
      <c r="C185" s="42" t="s">
        <v>708</v>
      </c>
      <c r="D185" s="47" t="s">
        <v>323</v>
      </c>
      <c r="E185" s="42" t="s">
        <v>463</v>
      </c>
      <c r="F185" s="101">
        <f>11500/1000</f>
        <v>11.5</v>
      </c>
      <c r="G185" s="170">
        <v>40</v>
      </c>
      <c r="H185" s="170">
        <v>64</v>
      </c>
      <c r="I185" s="170">
        <v>66.599999999999994</v>
      </c>
      <c r="J185" s="170">
        <v>66.599999999999994</v>
      </c>
      <c r="K185" s="170">
        <v>66.599999999999994</v>
      </c>
    </row>
    <row r="186" spans="1:14" ht="72" x14ac:dyDescent="0.2">
      <c r="A186" s="23" t="s">
        <v>334</v>
      </c>
      <c r="B186" s="29" t="s">
        <v>442</v>
      </c>
      <c r="C186" s="42" t="s">
        <v>709</v>
      </c>
      <c r="D186" s="47" t="s">
        <v>323</v>
      </c>
      <c r="E186" s="42" t="s">
        <v>455</v>
      </c>
      <c r="F186" s="101">
        <f>1007953/1000</f>
        <v>1007.953</v>
      </c>
      <c r="G186" s="170">
        <v>735.90499999999997</v>
      </c>
      <c r="H186" s="170">
        <v>1150</v>
      </c>
      <c r="I186" s="170">
        <v>1150</v>
      </c>
      <c r="J186" s="170">
        <v>1250</v>
      </c>
      <c r="K186" s="170">
        <v>1250</v>
      </c>
    </row>
    <row r="187" spans="1:14" ht="72" x14ac:dyDescent="0.2">
      <c r="A187" s="23" t="s">
        <v>334</v>
      </c>
      <c r="B187" s="29" t="s">
        <v>442</v>
      </c>
      <c r="C187" s="42" t="s">
        <v>710</v>
      </c>
      <c r="D187" s="47" t="s">
        <v>323</v>
      </c>
      <c r="E187" s="42" t="s">
        <v>458</v>
      </c>
      <c r="F187" s="101">
        <f>103812.13/1000</f>
        <v>103.81213000000001</v>
      </c>
      <c r="G187" s="170">
        <v>47.4</v>
      </c>
      <c r="H187" s="170">
        <v>70.3</v>
      </c>
      <c r="I187" s="170">
        <v>73.3</v>
      </c>
      <c r="J187" s="170">
        <v>75.900000000000006</v>
      </c>
      <c r="K187" s="170">
        <v>78.900000000000006</v>
      </c>
    </row>
    <row r="188" spans="1:14" ht="54" customHeight="1" x14ac:dyDescent="0.2">
      <c r="A188" s="24" t="s">
        <v>340</v>
      </c>
      <c r="B188" s="29" t="s">
        <v>442</v>
      </c>
      <c r="C188" s="42" t="s">
        <v>711</v>
      </c>
      <c r="D188" s="47" t="s">
        <v>323</v>
      </c>
      <c r="E188" s="46" t="s">
        <v>460</v>
      </c>
      <c r="F188" s="101">
        <f>24031.68/1000</f>
        <v>24.031680000000001</v>
      </c>
      <c r="G188" s="170">
        <v>33.700000000000003</v>
      </c>
      <c r="H188" s="170">
        <v>45</v>
      </c>
      <c r="I188" s="170">
        <v>46.9</v>
      </c>
      <c r="J188" s="170">
        <v>48.6</v>
      </c>
      <c r="K188" s="170">
        <v>50.5</v>
      </c>
    </row>
    <row r="189" spans="1:14" s="27" customFormat="1" ht="12" x14ac:dyDescent="0.2">
      <c r="A189" s="40" t="s">
        <v>583</v>
      </c>
      <c r="B189" s="40"/>
      <c r="C189" s="41"/>
      <c r="D189" s="41"/>
      <c r="E189" s="41"/>
      <c r="F189" s="103"/>
      <c r="G189" s="172"/>
      <c r="H189" s="173"/>
      <c r="I189" s="173"/>
      <c r="J189" s="173"/>
      <c r="K189" s="173"/>
      <c r="L189" s="153"/>
      <c r="M189" s="159"/>
    </row>
    <row r="190" spans="1:14" ht="25.5" customHeight="1" x14ac:dyDescent="0.2">
      <c r="A190" s="21"/>
      <c r="B190" s="21"/>
      <c r="C190" s="29" t="s">
        <v>712</v>
      </c>
      <c r="D190" s="24" t="s">
        <v>484</v>
      </c>
      <c r="E190" s="28"/>
      <c r="F190" s="101">
        <v>0</v>
      </c>
      <c r="G190" s="170">
        <v>61.780999999999999</v>
      </c>
      <c r="H190" s="170">
        <v>0</v>
      </c>
      <c r="I190" s="170">
        <v>0</v>
      </c>
      <c r="J190" s="170">
        <v>0</v>
      </c>
      <c r="K190" s="170">
        <v>0</v>
      </c>
    </row>
    <row r="191" spans="1:14" ht="48" x14ac:dyDescent="0.2">
      <c r="A191" s="24" t="s">
        <v>484</v>
      </c>
      <c r="B191" s="29" t="s">
        <v>442</v>
      </c>
      <c r="C191" s="29" t="s">
        <v>713</v>
      </c>
      <c r="D191" s="24" t="s">
        <v>484</v>
      </c>
      <c r="E191" s="46" t="s">
        <v>449</v>
      </c>
      <c r="F191" s="101">
        <v>0</v>
      </c>
      <c r="G191" s="170">
        <v>-15</v>
      </c>
      <c r="H191" s="170">
        <v>0</v>
      </c>
      <c r="I191" s="170">
        <v>0</v>
      </c>
      <c r="J191" s="170">
        <v>0</v>
      </c>
      <c r="K191" s="170">
        <v>0</v>
      </c>
    </row>
    <row r="192" spans="1:14" ht="36" x14ac:dyDescent="0.2">
      <c r="A192" s="24" t="s">
        <v>484</v>
      </c>
      <c r="B192" s="29" t="s">
        <v>442</v>
      </c>
      <c r="C192" s="29" t="s">
        <v>714</v>
      </c>
      <c r="D192" s="24" t="s">
        <v>484</v>
      </c>
      <c r="E192" s="46" t="s">
        <v>2</v>
      </c>
      <c r="F192" s="101">
        <v>0</v>
      </c>
      <c r="G192" s="170">
        <v>10.27</v>
      </c>
      <c r="H192" s="170">
        <v>0</v>
      </c>
      <c r="I192" s="170">
        <v>0</v>
      </c>
      <c r="J192" s="170">
        <v>0</v>
      </c>
      <c r="K192" s="170">
        <v>0</v>
      </c>
    </row>
    <row r="193" spans="1:11" ht="112.5" customHeight="1" x14ac:dyDescent="0.2">
      <c r="A193" s="24" t="s">
        <v>484</v>
      </c>
      <c r="B193" s="29" t="s">
        <v>442</v>
      </c>
      <c r="C193" s="29" t="s">
        <v>715</v>
      </c>
      <c r="D193" s="24" t="s">
        <v>484</v>
      </c>
      <c r="E193" s="46" t="s">
        <v>810</v>
      </c>
      <c r="F193" s="101">
        <v>0</v>
      </c>
      <c r="G193" s="170">
        <v>66.510999999999996</v>
      </c>
      <c r="H193" s="170">
        <v>0</v>
      </c>
      <c r="I193" s="170">
        <v>0</v>
      </c>
      <c r="J193" s="170">
        <v>0</v>
      </c>
      <c r="K193" s="170">
        <v>0</v>
      </c>
    </row>
    <row r="194" spans="1:11" ht="24.75" customHeight="1" x14ac:dyDescent="0.2">
      <c r="A194" s="21" t="s">
        <v>824</v>
      </c>
      <c r="B194" s="29"/>
      <c r="C194" s="29"/>
      <c r="D194" s="24"/>
      <c r="E194" s="46"/>
      <c r="F194" s="101"/>
      <c r="G194" s="170"/>
      <c r="H194" s="171"/>
      <c r="I194" s="171"/>
      <c r="J194" s="171"/>
      <c r="K194" s="171"/>
    </row>
    <row r="195" spans="1:11" ht="29.25" customHeight="1" x14ac:dyDescent="0.2">
      <c r="A195" s="21"/>
      <c r="B195" s="21"/>
      <c r="C195" s="29" t="s">
        <v>716</v>
      </c>
      <c r="D195" s="24" t="s">
        <v>347</v>
      </c>
      <c r="E195" s="28"/>
      <c r="F195" s="101">
        <f>113445.95/1000</f>
        <v>113.44595</v>
      </c>
      <c r="G195" s="170">
        <v>171.87899999999999</v>
      </c>
      <c r="H195" s="170">
        <f>H196+H197</f>
        <v>161.9</v>
      </c>
      <c r="I195" s="170">
        <f t="shared" ref="I195:K195" si="32">I196+I197</f>
        <v>50</v>
      </c>
      <c r="J195" s="170">
        <f t="shared" si="32"/>
        <v>50</v>
      </c>
      <c r="K195" s="170">
        <f t="shared" si="32"/>
        <v>50</v>
      </c>
    </row>
    <row r="196" spans="1:11" ht="116.25" customHeight="1" x14ac:dyDescent="0.2">
      <c r="A196" s="24" t="s">
        <v>347</v>
      </c>
      <c r="B196" s="29" t="s">
        <v>442</v>
      </c>
      <c r="C196" s="29" t="s">
        <v>717</v>
      </c>
      <c r="D196" s="24" t="s">
        <v>347</v>
      </c>
      <c r="E196" s="46" t="s">
        <v>810</v>
      </c>
      <c r="F196" s="101">
        <f>110498.9/1000</f>
        <v>110.49889999999999</v>
      </c>
      <c r="G196" s="170">
        <v>69.218000000000004</v>
      </c>
      <c r="H196" s="170">
        <v>59.2</v>
      </c>
      <c r="I196" s="170">
        <v>50</v>
      </c>
      <c r="J196" s="170">
        <v>50</v>
      </c>
      <c r="K196" s="170">
        <v>50</v>
      </c>
    </row>
    <row r="197" spans="1:11" ht="95.25" customHeight="1" x14ac:dyDescent="0.2">
      <c r="A197" s="24" t="s">
        <v>347</v>
      </c>
      <c r="B197" s="29" t="s">
        <v>442</v>
      </c>
      <c r="C197" s="29" t="s">
        <v>825</v>
      </c>
      <c r="D197" s="24" t="s">
        <v>347</v>
      </c>
      <c r="E197" s="29" t="s">
        <v>491</v>
      </c>
      <c r="F197" s="101">
        <f>110498.9/1000</f>
        <v>110.49889999999999</v>
      </c>
      <c r="G197" s="170">
        <v>102.661</v>
      </c>
      <c r="H197" s="170">
        <v>102.7</v>
      </c>
      <c r="I197" s="170">
        <v>0</v>
      </c>
      <c r="J197" s="170">
        <v>0</v>
      </c>
      <c r="K197" s="170">
        <v>0</v>
      </c>
    </row>
    <row r="198" spans="1:11" ht="24" x14ac:dyDescent="0.2">
      <c r="A198" s="21" t="s">
        <v>354</v>
      </c>
      <c r="B198" s="21"/>
      <c r="C198" s="28"/>
      <c r="D198" s="28"/>
      <c r="E198" s="28"/>
      <c r="F198" s="101">
        <f>10823600/1000</f>
        <v>10823.6</v>
      </c>
      <c r="G198" s="172"/>
      <c r="H198" s="173"/>
      <c r="I198" s="173"/>
      <c r="J198" s="173"/>
      <c r="K198" s="173"/>
    </row>
    <row r="199" spans="1:11" ht="27.75" customHeight="1" x14ac:dyDescent="0.2">
      <c r="A199" s="21"/>
      <c r="B199" s="21"/>
      <c r="C199" s="29" t="s">
        <v>877</v>
      </c>
      <c r="D199" s="24" t="s">
        <v>521</v>
      </c>
      <c r="E199" s="28"/>
      <c r="F199" s="101"/>
      <c r="G199" s="170">
        <f>G200</f>
        <v>9747</v>
      </c>
      <c r="H199" s="170">
        <f t="shared" ref="H199:K199" si="33">H200</f>
        <v>12996.4</v>
      </c>
      <c r="I199" s="170">
        <f t="shared" si="33"/>
        <v>35934</v>
      </c>
      <c r="J199" s="170">
        <f t="shared" si="33"/>
        <v>0</v>
      </c>
      <c r="K199" s="170">
        <f t="shared" si="33"/>
        <v>325.7</v>
      </c>
    </row>
    <row r="200" spans="1:11" ht="36" x14ac:dyDescent="0.2">
      <c r="A200" s="24" t="s">
        <v>521</v>
      </c>
      <c r="B200" s="29" t="s">
        <v>442</v>
      </c>
      <c r="C200" s="29" t="s">
        <v>876</v>
      </c>
      <c r="D200" s="24" t="s">
        <v>521</v>
      </c>
      <c r="E200" s="46" t="s">
        <v>2</v>
      </c>
      <c r="F200" s="101"/>
      <c r="G200" s="170">
        <v>9747</v>
      </c>
      <c r="H200" s="170">
        <v>12996.4</v>
      </c>
      <c r="I200" s="170">
        <v>35934</v>
      </c>
      <c r="J200" s="170">
        <v>0</v>
      </c>
      <c r="K200" s="170">
        <v>325.7</v>
      </c>
    </row>
    <row r="201" spans="1:11" ht="37.5" customHeight="1" x14ac:dyDescent="0.2">
      <c r="A201" s="21"/>
      <c r="B201" s="21"/>
      <c r="C201" s="29" t="s">
        <v>875</v>
      </c>
      <c r="D201" s="24" t="s">
        <v>356</v>
      </c>
      <c r="E201" s="28"/>
      <c r="F201" s="101"/>
      <c r="G201" s="170">
        <f>G202</f>
        <v>101066</v>
      </c>
      <c r="H201" s="170">
        <f>H202</f>
        <v>126574.3</v>
      </c>
      <c r="I201" s="170">
        <f>I202</f>
        <v>63432.9</v>
      </c>
      <c r="J201" s="170">
        <f t="shared" ref="J201:K201" si="34">J202</f>
        <v>0</v>
      </c>
      <c r="K201" s="170">
        <f t="shared" si="34"/>
        <v>0</v>
      </c>
    </row>
    <row r="202" spans="1:11" ht="43.5" customHeight="1" x14ac:dyDescent="0.2">
      <c r="A202" s="24" t="s">
        <v>356</v>
      </c>
      <c r="B202" s="29" t="s">
        <v>442</v>
      </c>
      <c r="C202" s="29" t="s">
        <v>874</v>
      </c>
      <c r="D202" s="24" t="s">
        <v>356</v>
      </c>
      <c r="E202" s="46" t="s">
        <v>2</v>
      </c>
      <c r="F202" s="101"/>
      <c r="G202" s="170">
        <v>101066</v>
      </c>
      <c r="H202" s="170">
        <v>126574.3</v>
      </c>
      <c r="I202" s="170">
        <v>63432.9</v>
      </c>
      <c r="J202" s="170">
        <v>0</v>
      </c>
      <c r="K202" s="170">
        <v>0</v>
      </c>
    </row>
    <row r="203" spans="1:11" ht="24" x14ac:dyDescent="0.2">
      <c r="A203" s="21" t="s">
        <v>357</v>
      </c>
      <c r="B203" s="28"/>
      <c r="C203" s="28"/>
      <c r="D203" s="28"/>
      <c r="E203" s="28"/>
      <c r="F203" s="101">
        <f>178331300/1000</f>
        <v>178331.3</v>
      </c>
      <c r="G203" s="172"/>
      <c r="H203" s="173"/>
      <c r="I203" s="173"/>
      <c r="J203" s="173"/>
      <c r="K203" s="173"/>
    </row>
    <row r="204" spans="1:11" ht="39" customHeight="1" x14ac:dyDescent="0.2">
      <c r="A204" s="21"/>
      <c r="B204" s="28"/>
      <c r="C204" s="183" t="s">
        <v>873</v>
      </c>
      <c r="D204" s="24" t="s">
        <v>590</v>
      </c>
      <c r="E204" s="28"/>
      <c r="F204" s="101"/>
      <c r="G204" s="170">
        <f>G205</f>
        <v>0</v>
      </c>
      <c r="H204" s="170">
        <f>H205</f>
        <v>30400.6</v>
      </c>
      <c r="I204" s="170">
        <f t="shared" ref="I204:K204" si="35">I205</f>
        <v>176476.4</v>
      </c>
      <c r="J204" s="170">
        <f t="shared" si="35"/>
        <v>320863.09999999998</v>
      </c>
      <c r="K204" s="170">
        <f t="shared" si="35"/>
        <v>0</v>
      </c>
    </row>
    <row r="205" spans="1:11" ht="88.5" customHeight="1" x14ac:dyDescent="0.2">
      <c r="A205" s="24" t="s">
        <v>590</v>
      </c>
      <c r="B205" s="28"/>
      <c r="C205" s="183" t="s">
        <v>872</v>
      </c>
      <c r="D205" s="24" t="s">
        <v>590</v>
      </c>
      <c r="E205" s="29" t="s">
        <v>491</v>
      </c>
      <c r="F205" s="101"/>
      <c r="G205" s="170">
        <v>0</v>
      </c>
      <c r="H205" s="170">
        <v>30400.6</v>
      </c>
      <c r="I205" s="170">
        <v>176476.4</v>
      </c>
      <c r="J205" s="170">
        <v>320863.09999999998</v>
      </c>
      <c r="K205" s="170">
        <v>0</v>
      </c>
    </row>
    <row r="206" spans="1:11" ht="36" x14ac:dyDescent="0.2">
      <c r="A206" s="21"/>
      <c r="B206" s="28"/>
      <c r="C206" s="29" t="s">
        <v>871</v>
      </c>
      <c r="D206" s="24" t="s">
        <v>777</v>
      </c>
      <c r="E206" s="28"/>
      <c r="F206" s="101"/>
      <c r="G206" s="170">
        <v>2262.0790000000002</v>
      </c>
      <c r="H206" s="170">
        <v>2823</v>
      </c>
      <c r="I206" s="170">
        <v>0</v>
      </c>
      <c r="J206" s="170">
        <v>0</v>
      </c>
      <c r="K206" s="170">
        <v>0</v>
      </c>
    </row>
    <row r="207" spans="1:11" ht="51.75" customHeight="1" x14ac:dyDescent="0.2">
      <c r="A207" s="24" t="s">
        <v>777</v>
      </c>
      <c r="B207" s="29" t="s">
        <v>442</v>
      </c>
      <c r="C207" s="29" t="s">
        <v>870</v>
      </c>
      <c r="D207" s="24" t="s">
        <v>777</v>
      </c>
      <c r="E207" s="29" t="s">
        <v>811</v>
      </c>
      <c r="F207" s="101"/>
      <c r="G207" s="170">
        <v>2262.0790000000002</v>
      </c>
      <c r="H207" s="170">
        <v>2823</v>
      </c>
      <c r="I207" s="170">
        <v>0</v>
      </c>
      <c r="J207" s="170">
        <v>0</v>
      </c>
      <c r="K207" s="170">
        <v>0</v>
      </c>
    </row>
    <row r="208" spans="1:11" ht="27" customHeight="1" x14ac:dyDescent="0.2">
      <c r="A208" s="21"/>
      <c r="B208" s="28"/>
      <c r="C208" s="29" t="s">
        <v>869</v>
      </c>
      <c r="D208" s="24" t="s">
        <v>516</v>
      </c>
      <c r="E208" s="28"/>
      <c r="F208" s="101"/>
      <c r="G208" s="170">
        <v>82.3</v>
      </c>
      <c r="H208" s="170">
        <v>82.3</v>
      </c>
      <c r="I208" s="170">
        <v>0</v>
      </c>
      <c r="J208" s="170">
        <v>0</v>
      </c>
      <c r="K208" s="170">
        <v>0</v>
      </c>
    </row>
    <row r="209" spans="1:13" ht="52.5" customHeight="1" x14ac:dyDescent="0.2">
      <c r="A209" s="24" t="s">
        <v>516</v>
      </c>
      <c r="B209" s="29" t="s">
        <v>442</v>
      </c>
      <c r="C209" s="29" t="s">
        <v>868</v>
      </c>
      <c r="D209" s="24" t="s">
        <v>516</v>
      </c>
      <c r="E209" s="29" t="s">
        <v>811</v>
      </c>
      <c r="F209" s="101"/>
      <c r="G209" s="170">
        <v>82.3</v>
      </c>
      <c r="H209" s="170">
        <v>82.3</v>
      </c>
      <c r="I209" s="170">
        <v>0</v>
      </c>
      <c r="J209" s="170">
        <v>0</v>
      </c>
      <c r="K209" s="170">
        <v>0</v>
      </c>
    </row>
    <row r="210" spans="1:13" ht="24" x14ac:dyDescent="0.2">
      <c r="A210" s="21"/>
      <c r="B210" s="21"/>
      <c r="C210" s="29" t="s">
        <v>867</v>
      </c>
      <c r="D210" s="24" t="s">
        <v>360</v>
      </c>
      <c r="E210" s="28"/>
      <c r="F210" s="101"/>
      <c r="G210" s="170">
        <v>71493.945000000007</v>
      </c>
      <c r="H210" s="170">
        <f>H211+H212+H215+H214+H213</f>
        <v>176125.36499999999</v>
      </c>
      <c r="I210" s="170">
        <f t="shared" ref="I210:K210" si="36">I211+I212+I215+I214+I213</f>
        <v>105214.7</v>
      </c>
      <c r="J210" s="170">
        <f t="shared" si="36"/>
        <v>82288.099999999991</v>
      </c>
      <c r="K210" s="170">
        <f t="shared" si="36"/>
        <v>140941.70000000001</v>
      </c>
      <c r="L210" s="154">
        <f>H210+H208+H206+H204</f>
        <v>209431.26499999998</v>
      </c>
    </row>
    <row r="211" spans="1:13" ht="73.5" customHeight="1" x14ac:dyDescent="0.2">
      <c r="A211" s="24" t="s">
        <v>360</v>
      </c>
      <c r="B211" s="29" t="s">
        <v>442</v>
      </c>
      <c r="C211" s="29" t="s">
        <v>866</v>
      </c>
      <c r="D211" s="24" t="s">
        <v>360</v>
      </c>
      <c r="E211" s="29" t="s">
        <v>811</v>
      </c>
      <c r="F211" s="101"/>
      <c r="G211" s="170">
        <v>47.497999999999998</v>
      </c>
      <c r="H211" s="170">
        <v>1299.3979999999999</v>
      </c>
      <c r="I211" s="170">
        <v>0</v>
      </c>
      <c r="J211" s="170">
        <v>0</v>
      </c>
      <c r="K211" s="170">
        <v>0</v>
      </c>
    </row>
    <row r="212" spans="1:13" ht="36" x14ac:dyDescent="0.2">
      <c r="A212" s="24" t="s">
        <v>360</v>
      </c>
      <c r="B212" s="29" t="s">
        <v>442</v>
      </c>
      <c r="C212" s="29" t="s">
        <v>865</v>
      </c>
      <c r="D212" s="24" t="s">
        <v>360</v>
      </c>
      <c r="E212" s="29" t="s">
        <v>445</v>
      </c>
      <c r="F212" s="101"/>
      <c r="G212" s="170">
        <v>72.046000000000006</v>
      </c>
      <c r="H212" s="170">
        <v>2084.4</v>
      </c>
      <c r="I212" s="170">
        <v>0</v>
      </c>
      <c r="J212" s="170">
        <v>0</v>
      </c>
      <c r="K212" s="170">
        <v>0</v>
      </c>
    </row>
    <row r="213" spans="1:13" ht="43.5" customHeight="1" x14ac:dyDescent="0.2">
      <c r="A213" s="24" t="s">
        <v>360</v>
      </c>
      <c r="B213" s="29" t="s">
        <v>442</v>
      </c>
      <c r="C213" s="29" t="s">
        <v>864</v>
      </c>
      <c r="D213" s="24" t="s">
        <v>360</v>
      </c>
      <c r="E213" s="46" t="s">
        <v>2</v>
      </c>
      <c r="F213" s="101"/>
      <c r="G213" s="170">
        <v>71374.400999999998</v>
      </c>
      <c r="H213" s="170">
        <v>160502</v>
      </c>
      <c r="I213" s="170">
        <v>68315</v>
      </c>
      <c r="J213" s="170">
        <v>67642.899999999994</v>
      </c>
      <c r="K213" s="170">
        <v>66949.899999999994</v>
      </c>
    </row>
    <row r="214" spans="1:13" ht="117" customHeight="1" x14ac:dyDescent="0.2">
      <c r="A214" s="24" t="s">
        <v>360</v>
      </c>
      <c r="B214" s="29" t="s">
        <v>442</v>
      </c>
      <c r="C214" s="29" t="s">
        <v>863</v>
      </c>
      <c r="D214" s="24" t="s">
        <v>360</v>
      </c>
      <c r="E214" s="46" t="s">
        <v>810</v>
      </c>
      <c r="F214" s="101"/>
      <c r="G214" s="170">
        <v>0</v>
      </c>
      <c r="H214" s="170">
        <v>11720</v>
      </c>
      <c r="I214" s="170">
        <v>36899.699999999997</v>
      </c>
      <c r="J214" s="170">
        <v>14645.2</v>
      </c>
      <c r="K214" s="170">
        <v>73991.8</v>
      </c>
    </row>
    <row r="215" spans="1:13" ht="90" customHeight="1" x14ac:dyDescent="0.2">
      <c r="A215" s="24" t="s">
        <v>360</v>
      </c>
      <c r="B215" s="29" t="s">
        <v>442</v>
      </c>
      <c r="C215" s="29" t="s">
        <v>862</v>
      </c>
      <c r="D215" s="24" t="s">
        <v>360</v>
      </c>
      <c r="E215" s="46" t="s">
        <v>491</v>
      </c>
      <c r="F215" s="101"/>
      <c r="G215" s="170">
        <v>0</v>
      </c>
      <c r="H215" s="170">
        <v>519.56700000000001</v>
      </c>
      <c r="I215" s="170">
        <v>0</v>
      </c>
      <c r="J215" s="170">
        <v>0</v>
      </c>
      <c r="K215" s="170">
        <v>0</v>
      </c>
    </row>
    <row r="216" spans="1:13" ht="24" x14ac:dyDescent="0.2">
      <c r="A216" s="21" t="s">
        <v>364</v>
      </c>
      <c r="B216" s="21"/>
      <c r="C216" s="28"/>
      <c r="D216" s="28"/>
      <c r="E216" s="28"/>
      <c r="F216" s="101">
        <f>961693173.65/1000</f>
        <v>961693.17365000001</v>
      </c>
      <c r="G216" s="172"/>
      <c r="H216" s="173"/>
      <c r="I216" s="173"/>
      <c r="J216" s="173"/>
      <c r="K216" s="173"/>
    </row>
    <row r="217" spans="1:13" ht="48" x14ac:dyDescent="0.2">
      <c r="A217" s="21"/>
      <c r="B217" s="21"/>
      <c r="C217" s="29" t="s">
        <v>861</v>
      </c>
      <c r="D217" s="24" t="s">
        <v>366</v>
      </c>
      <c r="E217" s="28"/>
      <c r="F217" s="101"/>
      <c r="G217" s="170">
        <f>G218</f>
        <v>51530.245000000003</v>
      </c>
      <c r="H217" s="170">
        <f t="shared" ref="H217:K217" si="37">H218</f>
        <v>69033.7</v>
      </c>
      <c r="I217" s="170">
        <f t="shared" si="37"/>
        <v>72611</v>
      </c>
      <c r="J217" s="170">
        <f t="shared" si="37"/>
        <v>72611</v>
      </c>
      <c r="K217" s="170">
        <f t="shared" si="37"/>
        <v>72611</v>
      </c>
      <c r="M217" s="160">
        <f>H217+H219+H222+H224</f>
        <v>1113575.5</v>
      </c>
    </row>
    <row r="218" spans="1:13" ht="75" customHeight="1" x14ac:dyDescent="0.2">
      <c r="A218" s="24" t="s">
        <v>366</v>
      </c>
      <c r="B218" s="29" t="s">
        <v>442</v>
      </c>
      <c r="C218" s="29" t="s">
        <v>860</v>
      </c>
      <c r="D218" s="24" t="s">
        <v>366</v>
      </c>
      <c r="E218" s="46" t="s">
        <v>466</v>
      </c>
      <c r="F218" s="101"/>
      <c r="G218" s="170">
        <v>51530.245000000003</v>
      </c>
      <c r="H218" s="170">
        <v>69033.7</v>
      </c>
      <c r="I218" s="170">
        <v>72611</v>
      </c>
      <c r="J218" s="170">
        <v>72611</v>
      </c>
      <c r="K218" s="170">
        <v>72611</v>
      </c>
    </row>
    <row r="219" spans="1:13" ht="36" x14ac:dyDescent="0.2">
      <c r="A219" s="21"/>
      <c r="B219" s="21"/>
      <c r="C219" s="29" t="s">
        <v>859</v>
      </c>
      <c r="D219" s="24" t="s">
        <v>368</v>
      </c>
      <c r="E219" s="28"/>
      <c r="F219" s="101"/>
      <c r="G219" s="170">
        <v>16202.411</v>
      </c>
      <c r="H219" s="170">
        <f>H220+H221</f>
        <v>35280.5</v>
      </c>
      <c r="I219" s="170">
        <f>I220+I221</f>
        <v>40389</v>
      </c>
      <c r="J219" s="170">
        <f t="shared" ref="J219:K219" si="38">J220+J221</f>
        <v>40181.9</v>
      </c>
      <c r="K219" s="170">
        <f t="shared" si="38"/>
        <v>40066.6</v>
      </c>
    </row>
    <row r="220" spans="1:13" ht="36" x14ac:dyDescent="0.2">
      <c r="A220" s="24" t="s">
        <v>368</v>
      </c>
      <c r="B220" s="29" t="s">
        <v>442</v>
      </c>
      <c r="C220" s="29" t="s">
        <v>858</v>
      </c>
      <c r="D220" s="24" t="s">
        <v>368</v>
      </c>
      <c r="E220" s="29" t="s">
        <v>445</v>
      </c>
      <c r="F220" s="101"/>
      <c r="G220" s="170">
        <v>10630.5</v>
      </c>
      <c r="H220" s="170">
        <v>27406</v>
      </c>
      <c r="I220" s="170">
        <v>32914</v>
      </c>
      <c r="J220" s="170">
        <v>32914</v>
      </c>
      <c r="K220" s="170">
        <v>32914</v>
      </c>
    </row>
    <row r="221" spans="1:13" ht="50.25" customHeight="1" x14ac:dyDescent="0.2">
      <c r="A221" s="24" t="s">
        <v>368</v>
      </c>
      <c r="B221" s="29" t="s">
        <v>442</v>
      </c>
      <c r="C221" s="29" t="s">
        <v>857</v>
      </c>
      <c r="D221" s="24" t="s">
        <v>368</v>
      </c>
      <c r="E221" s="46" t="s">
        <v>449</v>
      </c>
      <c r="F221" s="101"/>
      <c r="G221" s="170">
        <v>5571.9110000000001</v>
      </c>
      <c r="H221" s="170">
        <v>7874.5</v>
      </c>
      <c r="I221" s="170">
        <v>7475</v>
      </c>
      <c r="J221" s="170">
        <v>7267.9</v>
      </c>
      <c r="K221" s="170">
        <v>7152.6</v>
      </c>
    </row>
    <row r="222" spans="1:13" ht="60" x14ac:dyDescent="0.2">
      <c r="A222" s="21"/>
      <c r="B222" s="21"/>
      <c r="C222" s="29" t="s">
        <v>856</v>
      </c>
      <c r="D222" s="24" t="s">
        <v>524</v>
      </c>
      <c r="E222" s="28"/>
      <c r="F222" s="101"/>
      <c r="G222" s="170">
        <f>G223</f>
        <v>234.3</v>
      </c>
      <c r="H222" s="170">
        <f t="shared" ref="H222:K222" si="39">H223</f>
        <v>234.3</v>
      </c>
      <c r="I222" s="170">
        <f t="shared" si="39"/>
        <v>23.4</v>
      </c>
      <c r="J222" s="170">
        <f t="shared" si="39"/>
        <v>24.4</v>
      </c>
      <c r="K222" s="170">
        <f t="shared" si="39"/>
        <v>25.6</v>
      </c>
    </row>
    <row r="223" spans="1:13" ht="60" x14ac:dyDescent="0.2">
      <c r="A223" s="24" t="s">
        <v>524</v>
      </c>
      <c r="B223" s="29" t="s">
        <v>442</v>
      </c>
      <c r="C223" s="29" t="s">
        <v>855</v>
      </c>
      <c r="D223" s="24" t="s">
        <v>524</v>
      </c>
      <c r="E223" s="46" t="s">
        <v>449</v>
      </c>
      <c r="F223" s="101"/>
      <c r="G223" s="170">
        <v>234.3</v>
      </c>
      <c r="H223" s="170">
        <v>234.3</v>
      </c>
      <c r="I223" s="170">
        <v>23.4</v>
      </c>
      <c r="J223" s="170">
        <v>24.4</v>
      </c>
      <c r="K223" s="170">
        <v>25.6</v>
      </c>
    </row>
    <row r="224" spans="1:13" ht="24" x14ac:dyDescent="0.2">
      <c r="A224" s="21"/>
      <c r="B224" s="21"/>
      <c r="C224" s="29" t="s">
        <v>854</v>
      </c>
      <c r="D224" s="24" t="s">
        <v>378</v>
      </c>
      <c r="E224" s="28"/>
      <c r="F224" s="101"/>
      <c r="G224" s="170">
        <f>G225</f>
        <v>709274.8</v>
      </c>
      <c r="H224" s="170">
        <f t="shared" ref="H224:K224" si="40">H225</f>
        <v>1009027</v>
      </c>
      <c r="I224" s="170">
        <f t="shared" si="40"/>
        <v>954227.5</v>
      </c>
      <c r="J224" s="170">
        <f t="shared" si="40"/>
        <v>958125.6</v>
      </c>
      <c r="K224" s="170">
        <f t="shared" si="40"/>
        <v>958125.6</v>
      </c>
    </row>
    <row r="225" spans="1:11" ht="36" x14ac:dyDescent="0.2">
      <c r="A225" s="24" t="s">
        <v>378</v>
      </c>
      <c r="B225" s="29" t="s">
        <v>442</v>
      </c>
      <c r="C225" s="29" t="s">
        <v>853</v>
      </c>
      <c r="D225" s="24" t="s">
        <v>378</v>
      </c>
      <c r="E225" s="29" t="s">
        <v>445</v>
      </c>
      <c r="F225" s="101"/>
      <c r="G225" s="170">
        <v>709274.8</v>
      </c>
      <c r="H225" s="170">
        <v>1009027</v>
      </c>
      <c r="I225" s="170">
        <v>954227.5</v>
      </c>
      <c r="J225" s="170">
        <v>958125.6</v>
      </c>
      <c r="K225" s="170">
        <v>958125.6</v>
      </c>
    </row>
    <row r="226" spans="1:11" ht="18" customHeight="1" x14ac:dyDescent="0.2">
      <c r="A226" s="21" t="s">
        <v>380</v>
      </c>
      <c r="B226" s="21"/>
      <c r="C226" s="28"/>
      <c r="D226" s="28"/>
      <c r="E226" s="28"/>
      <c r="F226" s="101">
        <f>10533314.47/1000</f>
        <v>10533.314470000001</v>
      </c>
      <c r="G226" s="172"/>
      <c r="H226" s="173"/>
      <c r="I226" s="173"/>
      <c r="J226" s="173"/>
      <c r="K226" s="173"/>
    </row>
    <row r="227" spans="1:11" ht="65.25" customHeight="1" x14ac:dyDescent="0.2">
      <c r="A227" s="21"/>
      <c r="B227" s="21"/>
      <c r="C227" s="29" t="s">
        <v>852</v>
      </c>
      <c r="D227" s="24" t="s">
        <v>382</v>
      </c>
      <c r="E227" s="28"/>
      <c r="F227" s="101"/>
      <c r="G227" s="170">
        <v>8359.5349999999999</v>
      </c>
      <c r="H227" s="170">
        <f>H228+H229+H230+H231+H232</f>
        <v>11161.031000000001</v>
      </c>
      <c r="I227" s="170">
        <f>I228+I229+I230+I231+I232</f>
        <v>12728.52</v>
      </c>
      <c r="J227" s="170">
        <f t="shared" ref="J227:K227" si="41">J228+J229+J230+J231+J232</f>
        <v>11369.269999999999</v>
      </c>
      <c r="K227" s="170">
        <f t="shared" si="41"/>
        <v>11008.22</v>
      </c>
    </row>
    <row r="228" spans="1:11" ht="75.75" customHeight="1" x14ac:dyDescent="0.2">
      <c r="A228" s="24" t="s">
        <v>382</v>
      </c>
      <c r="B228" s="29" t="s">
        <v>442</v>
      </c>
      <c r="C228" s="29" t="s">
        <v>851</v>
      </c>
      <c r="D228" s="24" t="s">
        <v>382</v>
      </c>
      <c r="E228" s="46" t="s">
        <v>449</v>
      </c>
      <c r="F228" s="101"/>
      <c r="G228" s="170">
        <v>1133.424</v>
      </c>
      <c r="H228" s="170">
        <v>1461.5709999999999</v>
      </c>
      <c r="I228" s="170">
        <v>1340.65</v>
      </c>
      <c r="J228" s="170">
        <v>1340.65</v>
      </c>
      <c r="K228" s="170">
        <v>1340.65</v>
      </c>
    </row>
    <row r="229" spans="1:11" ht="108" x14ac:dyDescent="0.2">
      <c r="A229" s="24" t="s">
        <v>382</v>
      </c>
      <c r="B229" s="29" t="s">
        <v>442</v>
      </c>
      <c r="C229" s="29" t="s">
        <v>850</v>
      </c>
      <c r="D229" s="24" t="s">
        <v>382</v>
      </c>
      <c r="E229" s="46" t="s">
        <v>810</v>
      </c>
      <c r="F229" s="101"/>
      <c r="G229" s="170">
        <v>152.803</v>
      </c>
      <c r="H229" s="170">
        <v>223.84399999999999</v>
      </c>
      <c r="I229" s="170">
        <v>189.36</v>
      </c>
      <c r="J229" s="170">
        <v>189.36</v>
      </c>
      <c r="K229" s="170">
        <v>189.36</v>
      </c>
    </row>
    <row r="230" spans="1:11" ht="63.75" customHeight="1" x14ac:dyDescent="0.2">
      <c r="A230" s="24" t="s">
        <v>382</v>
      </c>
      <c r="B230" s="29" t="s">
        <v>442</v>
      </c>
      <c r="C230" s="29" t="s">
        <v>790</v>
      </c>
      <c r="D230" s="24" t="s">
        <v>382</v>
      </c>
      <c r="E230" s="46" t="s">
        <v>2</v>
      </c>
      <c r="F230" s="101"/>
      <c r="G230" s="170">
        <v>5825.5219999999999</v>
      </c>
      <c r="H230" s="170">
        <v>7755.3010000000004</v>
      </c>
      <c r="I230" s="170">
        <v>9478.2099999999991</v>
      </c>
      <c r="J230" s="170">
        <v>9478.2099999999991</v>
      </c>
      <c r="K230" s="170">
        <v>9478.2099999999991</v>
      </c>
    </row>
    <row r="231" spans="1:11" ht="63.75" customHeight="1" x14ac:dyDescent="0.2">
      <c r="A231" s="24" t="s">
        <v>382</v>
      </c>
      <c r="B231" s="29" t="s">
        <v>442</v>
      </c>
      <c r="C231" s="29" t="s">
        <v>849</v>
      </c>
      <c r="D231" s="24" t="s">
        <v>382</v>
      </c>
      <c r="E231" s="29" t="s">
        <v>456</v>
      </c>
      <c r="F231" s="101"/>
      <c r="G231" s="170">
        <v>983.63800000000003</v>
      </c>
      <c r="H231" s="170">
        <v>1281.201</v>
      </c>
      <c r="I231" s="170">
        <v>1281.2</v>
      </c>
      <c r="J231" s="170">
        <v>361.05</v>
      </c>
      <c r="K231" s="170">
        <v>0</v>
      </c>
    </row>
    <row r="232" spans="1:11" ht="99.75" customHeight="1" x14ac:dyDescent="0.2">
      <c r="A232" s="24" t="s">
        <v>382</v>
      </c>
      <c r="B232" s="29" t="s">
        <v>442</v>
      </c>
      <c r="C232" s="29" t="s">
        <v>848</v>
      </c>
      <c r="D232" s="24" t="s">
        <v>382</v>
      </c>
      <c r="E232" s="29" t="s">
        <v>467</v>
      </c>
      <c r="F232" s="101"/>
      <c r="G232" s="170">
        <v>264.14800000000002</v>
      </c>
      <c r="H232" s="170">
        <v>439.11399999999998</v>
      </c>
      <c r="I232" s="170">
        <v>439.1</v>
      </c>
      <c r="J232" s="170">
        <v>0</v>
      </c>
      <c r="K232" s="170">
        <v>0</v>
      </c>
    </row>
    <row r="233" spans="1:11" ht="24" x14ac:dyDescent="0.2">
      <c r="A233" s="21" t="s">
        <v>387</v>
      </c>
      <c r="B233" s="21"/>
      <c r="C233" s="28"/>
      <c r="D233" s="28"/>
      <c r="E233" s="28"/>
      <c r="F233" s="103"/>
      <c r="G233" s="172"/>
      <c r="H233" s="173"/>
      <c r="I233" s="173"/>
      <c r="J233" s="173"/>
      <c r="K233" s="173"/>
    </row>
    <row r="234" spans="1:11" ht="48" x14ac:dyDescent="0.2">
      <c r="A234" s="21"/>
      <c r="B234" s="21"/>
      <c r="C234" s="29" t="s">
        <v>847</v>
      </c>
      <c r="D234" s="24" t="s">
        <v>389</v>
      </c>
      <c r="E234" s="28"/>
      <c r="F234" s="101">
        <f>57406.21/1000</f>
        <v>57.406210000000002</v>
      </c>
      <c r="G234" s="170">
        <v>115.04900000000001</v>
      </c>
      <c r="H234" s="170">
        <v>7.9</v>
      </c>
      <c r="I234" s="170">
        <v>0</v>
      </c>
      <c r="J234" s="170">
        <v>0</v>
      </c>
      <c r="K234" s="170">
        <v>0</v>
      </c>
    </row>
    <row r="235" spans="1:11" ht="48" x14ac:dyDescent="0.2">
      <c r="A235" s="24" t="s">
        <v>389</v>
      </c>
      <c r="B235" s="29" t="s">
        <v>442</v>
      </c>
      <c r="C235" s="29" t="s">
        <v>846</v>
      </c>
      <c r="D235" s="24" t="s">
        <v>389</v>
      </c>
      <c r="E235" s="29" t="s">
        <v>445</v>
      </c>
      <c r="F235" s="101">
        <f>57406.21/1000</f>
        <v>57.406210000000002</v>
      </c>
      <c r="G235" s="170">
        <v>115.04900000000001</v>
      </c>
      <c r="H235" s="170">
        <v>7.9</v>
      </c>
      <c r="I235" s="170">
        <v>0</v>
      </c>
      <c r="J235" s="170">
        <v>0</v>
      </c>
      <c r="K235" s="170">
        <v>0</v>
      </c>
    </row>
    <row r="236" spans="1:11" ht="48" x14ac:dyDescent="0.2">
      <c r="A236" s="21" t="s">
        <v>394</v>
      </c>
      <c r="B236" s="21"/>
      <c r="C236" s="28"/>
      <c r="D236" s="28"/>
      <c r="E236" s="28"/>
      <c r="F236" s="101">
        <f>-1254402.66/1000</f>
        <v>-1254.40266</v>
      </c>
      <c r="G236" s="172"/>
      <c r="H236" s="173"/>
      <c r="I236" s="174"/>
      <c r="J236" s="174"/>
      <c r="K236" s="174"/>
    </row>
    <row r="237" spans="1:11" ht="48" x14ac:dyDescent="0.2">
      <c r="A237" s="21"/>
      <c r="B237" s="21"/>
      <c r="C237" s="29" t="s">
        <v>845</v>
      </c>
      <c r="D237" s="24" t="s">
        <v>514</v>
      </c>
      <c r="E237" s="28"/>
      <c r="F237" s="101"/>
      <c r="G237" s="170">
        <v>-18453.207999999999</v>
      </c>
      <c r="H237" s="170">
        <f>H238+H239+H240+H241+H242</f>
        <v>-18560.935999999998</v>
      </c>
      <c r="I237" s="170">
        <v>0</v>
      </c>
      <c r="J237" s="170">
        <v>0</v>
      </c>
      <c r="K237" s="170">
        <v>0</v>
      </c>
    </row>
    <row r="238" spans="1:11" ht="48" x14ac:dyDescent="0.2">
      <c r="A238" s="24" t="s">
        <v>514</v>
      </c>
      <c r="B238" s="29" t="s">
        <v>442</v>
      </c>
      <c r="C238" s="29" t="s">
        <v>844</v>
      </c>
      <c r="D238" s="24" t="s">
        <v>514</v>
      </c>
      <c r="E238" s="29" t="s">
        <v>445</v>
      </c>
      <c r="F238" s="101"/>
      <c r="G238" s="170">
        <v>-17797.001</v>
      </c>
      <c r="H238" s="170">
        <v>-17904.728999999999</v>
      </c>
      <c r="I238" s="170">
        <v>0</v>
      </c>
      <c r="J238" s="170">
        <v>0</v>
      </c>
      <c r="K238" s="170">
        <v>0</v>
      </c>
    </row>
    <row r="239" spans="1:11" ht="50.25" customHeight="1" x14ac:dyDescent="0.2">
      <c r="A239" s="24" t="s">
        <v>514</v>
      </c>
      <c r="B239" s="29" t="s">
        <v>442</v>
      </c>
      <c r="C239" s="29" t="s">
        <v>843</v>
      </c>
      <c r="D239" s="24" t="s">
        <v>514</v>
      </c>
      <c r="E239" s="46" t="s">
        <v>449</v>
      </c>
      <c r="F239" s="101"/>
      <c r="G239" s="170">
        <v>-395.63400000000001</v>
      </c>
      <c r="H239" s="170">
        <v>-395.63400000000001</v>
      </c>
      <c r="I239" s="170">
        <v>0</v>
      </c>
      <c r="J239" s="170">
        <v>0</v>
      </c>
      <c r="K239" s="170">
        <v>0</v>
      </c>
    </row>
    <row r="240" spans="1:11" ht="95.25" customHeight="1" x14ac:dyDescent="0.2">
      <c r="A240" s="24" t="s">
        <v>514</v>
      </c>
      <c r="B240" s="29" t="s">
        <v>442</v>
      </c>
      <c r="C240" s="29" t="s">
        <v>842</v>
      </c>
      <c r="D240" s="24" t="s">
        <v>514</v>
      </c>
      <c r="E240" s="46" t="s">
        <v>466</v>
      </c>
      <c r="F240" s="101"/>
      <c r="G240" s="170">
        <v>-159.86199999999999</v>
      </c>
      <c r="H240" s="170">
        <v>-159.86199999999999</v>
      </c>
      <c r="I240" s="170">
        <v>0</v>
      </c>
      <c r="J240" s="170">
        <v>0</v>
      </c>
      <c r="K240" s="170">
        <v>0</v>
      </c>
    </row>
    <row r="241" spans="1:13" ht="48" x14ac:dyDescent="0.2">
      <c r="A241" s="24" t="s">
        <v>514</v>
      </c>
      <c r="B241" s="29" t="s">
        <v>442</v>
      </c>
      <c r="C241" s="29" t="s">
        <v>841</v>
      </c>
      <c r="D241" s="24" t="s">
        <v>514</v>
      </c>
      <c r="E241" s="46" t="s">
        <v>2</v>
      </c>
      <c r="F241" s="101"/>
      <c r="G241" s="170">
        <v>-87.281000000000006</v>
      </c>
      <c r="H241" s="170">
        <v>-87.281000000000006</v>
      </c>
      <c r="I241" s="170">
        <v>0</v>
      </c>
      <c r="J241" s="170">
        <v>0</v>
      </c>
      <c r="K241" s="170">
        <v>0</v>
      </c>
    </row>
    <row r="242" spans="1:13" ht="48" x14ac:dyDescent="0.2">
      <c r="A242" s="24" t="s">
        <v>514</v>
      </c>
      <c r="B242" s="29" t="s">
        <v>442</v>
      </c>
      <c r="C242" s="29" t="s">
        <v>840</v>
      </c>
      <c r="D242" s="24" t="s">
        <v>514</v>
      </c>
      <c r="E242" s="29" t="s">
        <v>456</v>
      </c>
      <c r="F242" s="101"/>
      <c r="G242" s="170">
        <v>-13.43</v>
      </c>
      <c r="H242" s="170">
        <v>-13.43</v>
      </c>
      <c r="I242" s="170">
        <v>0</v>
      </c>
      <c r="J242" s="170">
        <v>0</v>
      </c>
      <c r="K242" s="170">
        <v>0</v>
      </c>
    </row>
    <row r="243" spans="1:13" ht="12" x14ac:dyDescent="0.2">
      <c r="A243" s="21" t="s">
        <v>395</v>
      </c>
      <c r="B243" s="21"/>
      <c r="C243" s="30"/>
      <c r="D243" s="30"/>
      <c r="E243" s="30"/>
      <c r="F243" s="104">
        <f>1589090643.26/1000</f>
        <v>1589090.64326</v>
      </c>
      <c r="G243" s="175">
        <f>G5+G9+G13+G17+G19+G20+G21+G22+G24+G32+G37+G41+G46+G50+G56+G59+G70+G64+G72+G75+G77+G82+G85+G91+G94+G98+G100+G102+G105+G109+G117+G120+G126+G129+G131+G134+G137+G140+G143+G147+G150+G154+G158+G161+G164+G168+G171+G177+G190+G195+G199+G201+G204+G206+G208+G210+G217+G219+G222+G224+G227+G234+G237+G122</f>
        <v>1327742.9610000001</v>
      </c>
      <c r="H243" s="175">
        <f>H5+H9+H13+H17+H19+H20+H21+H22+H24+H32+H37+H41+H46+H50+H56+H59+H70+H64+H72+H75+H77+H82+H85+H91+H94+H98+H100+H102+H105+H109+H117+H120+H126+H129+H131+H134+H137+H140+H143+H147+H150+H154+H158+H161+H164+H168+H171+H177+H190+H195+H199+H201+H204+H206+H208+H210+H217+H219+H222+H224+H227+H234+H237+H122</f>
        <v>1978121.1400000001</v>
      </c>
      <c r="I243" s="175">
        <f>I5+I9+I13+I17+I19+I20+I21+I22+I24+I32+I37+I41+I46+I50+I56+I59+I70+I64+I72+I75+I77+I82+I85+I91+I94+I98+I100+I102+I105+I109+I117+I120+I126+I129+I131+I134+I137+I140+I143+I147+I150+I154+I158+I161+I164+I168+I171+I177+I190+I195+I199+I201+I204+I206+I208+I210+I217+I219+I222+I224+I227+I234+I237+I122</f>
        <v>2003471.6747900003</v>
      </c>
      <c r="J243" s="175">
        <f t="shared" ref="J243:K243" si="42">J5+J9+J13+J17+J19+J20+J21+J22+J24+J32+J37+J41+J46+J50+J56+J59+J70+J64+J72+J75+J77+J82+J85+J91+J94+J98+J100+J102+J105+J109+J117+J120+J126+J129+J131+J134+J137+J140+J143+J147+J150+J154+J158+J161+J164+J168+J171+J177+J190+J195+J199+J201+J204+J206+J208+J210+J217+J219+J222+J224+J227+J234+J237+J122</f>
        <v>2052824.3499999996</v>
      </c>
      <c r="K243" s="175">
        <f t="shared" si="42"/>
        <v>1785680.48</v>
      </c>
    </row>
    <row r="244" spans="1:13" s="37" customFormat="1" ht="138.75" customHeight="1" x14ac:dyDescent="0.2">
      <c r="A244" s="230" t="s">
        <v>839</v>
      </c>
      <c r="B244" s="230"/>
      <c r="C244" s="230"/>
      <c r="D244" s="230"/>
      <c r="E244" s="230"/>
      <c r="F244" s="105"/>
      <c r="G244" s="176"/>
      <c r="H244" s="176"/>
      <c r="I244" s="176"/>
      <c r="J244" s="176"/>
      <c r="K244" s="176"/>
      <c r="L244" s="157"/>
      <c r="M244" s="163"/>
    </row>
    <row r="245" spans="1:13" ht="50.25" customHeight="1" x14ac:dyDescent="0.2">
      <c r="A245" s="57" t="s">
        <v>526</v>
      </c>
      <c r="B245" s="58"/>
      <c r="C245" s="229" t="s">
        <v>527</v>
      </c>
      <c r="D245" s="229"/>
      <c r="E245" s="55"/>
      <c r="F245" s="105"/>
      <c r="G245" s="176"/>
      <c r="H245" s="176"/>
      <c r="I245" s="176"/>
      <c r="J245" s="176"/>
      <c r="K245" s="176"/>
    </row>
    <row r="246" spans="1:13" ht="17.25" customHeight="1" x14ac:dyDescent="0.2">
      <c r="A246" s="226"/>
      <c r="B246" s="226"/>
      <c r="C246" s="226"/>
      <c r="E246" s="56" t="s">
        <v>525</v>
      </c>
      <c r="F246" s="106" t="e">
        <f>F5+F9+F13+F17+F41+F46+F50+F54+F56+F59+F62+F64+F67+F69+F70+F72+#REF!+F77+F85+F91+F94+F96+F98+F100+F105+F109+#REF!+F122+F129+F131+F134+F137+#REF!+F143+F147+F150+F154+F158+F161+F164+F168+F171+F177+F195+F198+F203+F216+F226+#REF!+F234+#REF!+F236</f>
        <v>#REF!</v>
      </c>
      <c r="G246" s="175">
        <v>1327742.956</v>
      </c>
      <c r="H246" s="182">
        <v>1978121.1</v>
      </c>
      <c r="I246" s="182">
        <v>2003471.69</v>
      </c>
      <c r="J246" s="182">
        <v>2052824.3570000001</v>
      </c>
      <c r="K246" s="182">
        <v>1785680.483</v>
      </c>
    </row>
    <row r="247" spans="1:13" ht="12.75" customHeight="1" x14ac:dyDescent="0.2">
      <c r="F247" s="106" t="e">
        <f>F246-F243</f>
        <v>#REF!</v>
      </c>
      <c r="G247" s="182">
        <f>G246-G243</f>
        <v>-5.0000001210719347E-3</v>
      </c>
      <c r="H247" s="182">
        <f>H246-H243</f>
        <v>-4.0000000037252903E-2</v>
      </c>
      <c r="I247" s="182">
        <f t="shared" ref="I247:K247" si="43">I246-I243</f>
        <v>1.5209999633952975E-2</v>
      </c>
      <c r="J247" s="182">
        <f t="shared" si="43"/>
        <v>7.000000448897481E-3</v>
      </c>
      <c r="K247" s="182">
        <f t="shared" si="43"/>
        <v>3.0000000260770321E-3</v>
      </c>
    </row>
    <row r="248" spans="1:13" ht="12.75" customHeight="1" x14ac:dyDescent="0.2">
      <c r="G248" s="177"/>
      <c r="H248" s="178"/>
      <c r="I248" s="178"/>
      <c r="J248" s="178"/>
      <c r="K248" s="178"/>
    </row>
  </sheetData>
  <mergeCells count="133">
    <mergeCell ref="K67:K68"/>
    <mergeCell ref="A246:C246"/>
    <mergeCell ref="G56:G57"/>
    <mergeCell ref="H56:H57"/>
    <mergeCell ref="I56:I57"/>
    <mergeCell ref="J56:J57"/>
    <mergeCell ref="K56:K57"/>
    <mergeCell ref="B67:B68"/>
    <mergeCell ref="C67:C68"/>
    <mergeCell ref="D67:D68"/>
    <mergeCell ref="E67:E68"/>
    <mergeCell ref="F67:F68"/>
    <mergeCell ref="B56:B57"/>
    <mergeCell ref="C56:C57"/>
    <mergeCell ref="D56:D57"/>
    <mergeCell ref="E56:E57"/>
    <mergeCell ref="F56:F57"/>
    <mergeCell ref="G67:G68"/>
    <mergeCell ref="H67:H68"/>
    <mergeCell ref="I67:I68"/>
    <mergeCell ref="J67:J68"/>
    <mergeCell ref="C245:D245"/>
    <mergeCell ref="A244:E244"/>
    <mergeCell ref="K46:K48"/>
    <mergeCell ref="B50:B52"/>
    <mergeCell ref="C50:C52"/>
    <mergeCell ref="D50:D52"/>
    <mergeCell ref="E50:E52"/>
    <mergeCell ref="F50:F52"/>
    <mergeCell ref="G50:G52"/>
    <mergeCell ref="H50:H52"/>
    <mergeCell ref="I50:I52"/>
    <mergeCell ref="J50:J52"/>
    <mergeCell ref="K50:K52"/>
    <mergeCell ref="B46:B48"/>
    <mergeCell ref="C46:C48"/>
    <mergeCell ref="D46:D48"/>
    <mergeCell ref="E46:E48"/>
    <mergeCell ref="F46:F48"/>
    <mergeCell ref="G46:G48"/>
    <mergeCell ref="H46:H48"/>
    <mergeCell ref="I46:I48"/>
    <mergeCell ref="J46:J48"/>
    <mergeCell ref="K37:K39"/>
    <mergeCell ref="B41:B44"/>
    <mergeCell ref="C41:C44"/>
    <mergeCell ref="D41:D44"/>
    <mergeCell ref="E41:E44"/>
    <mergeCell ref="F41:F44"/>
    <mergeCell ref="G41:G44"/>
    <mergeCell ref="H41:H44"/>
    <mergeCell ref="I41:I44"/>
    <mergeCell ref="J41:J44"/>
    <mergeCell ref="K41:K44"/>
    <mergeCell ref="B37:B39"/>
    <mergeCell ref="C37:C39"/>
    <mergeCell ref="D37:D39"/>
    <mergeCell ref="E37:E39"/>
    <mergeCell ref="F37:F39"/>
    <mergeCell ref="G37:G39"/>
    <mergeCell ref="H37:H39"/>
    <mergeCell ref="I37:I39"/>
    <mergeCell ref="J37:J39"/>
    <mergeCell ref="K28:K30"/>
    <mergeCell ref="B32:B34"/>
    <mergeCell ref="C32:C34"/>
    <mergeCell ref="D32:D34"/>
    <mergeCell ref="E32:E34"/>
    <mergeCell ref="F32:F34"/>
    <mergeCell ref="G32:G34"/>
    <mergeCell ref="H32:H34"/>
    <mergeCell ref="I32:I34"/>
    <mergeCell ref="J32:J34"/>
    <mergeCell ref="K32:K34"/>
    <mergeCell ref="B28:B30"/>
    <mergeCell ref="C28:C30"/>
    <mergeCell ref="D28:D30"/>
    <mergeCell ref="E28:E30"/>
    <mergeCell ref="F28:F30"/>
    <mergeCell ref="G28:G30"/>
    <mergeCell ref="H28:H30"/>
    <mergeCell ref="I28:I30"/>
    <mergeCell ref="J28:J30"/>
    <mergeCell ref="K13:K16"/>
    <mergeCell ref="B19:B22"/>
    <mergeCell ref="B24:B27"/>
    <mergeCell ref="C24:C27"/>
    <mergeCell ref="D24:D27"/>
    <mergeCell ref="E24:E27"/>
    <mergeCell ref="F24:F27"/>
    <mergeCell ref="G24:G27"/>
    <mergeCell ref="H24:H27"/>
    <mergeCell ref="I24:I27"/>
    <mergeCell ref="J24:J27"/>
    <mergeCell ref="K24:K27"/>
    <mergeCell ref="B13:B16"/>
    <mergeCell ref="C13:C16"/>
    <mergeCell ref="D13:D16"/>
    <mergeCell ref="E13:E16"/>
    <mergeCell ref="F13:F16"/>
    <mergeCell ref="G13:G16"/>
    <mergeCell ref="H13:H16"/>
    <mergeCell ref="I13:I16"/>
    <mergeCell ref="J13:J16"/>
    <mergeCell ref="H5:H8"/>
    <mergeCell ref="I5:I8"/>
    <mergeCell ref="J5:J8"/>
    <mergeCell ref="K5:K8"/>
    <mergeCell ref="B9:B12"/>
    <mergeCell ref="C9:C12"/>
    <mergeCell ref="D9:D12"/>
    <mergeCell ref="E9:E12"/>
    <mergeCell ref="F9:F12"/>
    <mergeCell ref="G9:G12"/>
    <mergeCell ref="B5:B8"/>
    <mergeCell ref="C5:C8"/>
    <mergeCell ref="D5:D8"/>
    <mergeCell ref="E5:E8"/>
    <mergeCell ref="F5:F8"/>
    <mergeCell ref="G5:G8"/>
    <mergeCell ref="H9:H12"/>
    <mergeCell ref="I9:I12"/>
    <mergeCell ref="J9:J12"/>
    <mergeCell ref="K9:K12"/>
    <mergeCell ref="A1:J1"/>
    <mergeCell ref="A2:A3"/>
    <mergeCell ref="B2:B3"/>
    <mergeCell ref="C2:D2"/>
    <mergeCell ref="E2:E3"/>
    <mergeCell ref="F2:F3"/>
    <mergeCell ref="G2:G3"/>
    <mergeCell ref="H2:H3"/>
    <mergeCell ref="I2:K2"/>
  </mergeCells>
  <pageMargins left="0.19685039370078741" right="0.19685039370078741" top="0.19685039370078741" bottom="0.19685039370078741" header="0" footer="0"/>
  <pageSetup paperSize="9" scale="61" orientation="landscape" r:id="rId1"/>
  <headerFooter alignWithMargins="0"/>
  <rowBreaks count="1" manualBreakCount="1">
    <brk id="2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на 01.10.2018г.</vt:lpstr>
      <vt:lpstr>реестр 2019-2021гг. </vt:lpstr>
      <vt:lpstr>'на 01.10.2018г.'!LAST_CELL</vt:lpstr>
      <vt:lpstr>'реестр 2019-2021гг. '!Заголовки_для_печати</vt:lpstr>
      <vt:lpstr>'реестр 2019-2021гг.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Финуправление</dc:creator>
  <dc:description>POI HSSF rep:2.40.0.76</dc:description>
  <cp:lastModifiedBy>Kuldoschina</cp:lastModifiedBy>
  <cp:lastPrinted>2017-11-14T08:15:38Z</cp:lastPrinted>
  <dcterms:created xsi:type="dcterms:W3CDTF">2017-04-21T00:40:08Z</dcterms:created>
  <dcterms:modified xsi:type="dcterms:W3CDTF">2018-11-12T03:34:20Z</dcterms:modified>
</cp:coreProperties>
</file>